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kho\Desktop\"/>
    </mc:Choice>
  </mc:AlternateContent>
  <bookViews>
    <workbookView xWindow="0" yWindow="0" windowWidth="20415" windowHeight="7680" tabRatio="669"/>
  </bookViews>
  <sheets>
    <sheet name="მთავარი" sheetId="20" r:id="rId1"/>
    <sheet name="First aid" sheetId="21" r:id="rId2"/>
    <sheet name="ტრეინინგი ექიმები" sheetId="16" r:id="rId3"/>
    <sheet name="ტრავმა" sheetId="17" r:id="rId4"/>
    <sheet name="კარდიოლოგია" sheetId="18" r:id="rId5"/>
    <sheet name="ექთნები" sheetId="19" r:id="rId6"/>
    <sheet name="მულაჟები" sheetId="15" r:id="rId7"/>
  </sheets>
  <externalReferences>
    <externalReference r:id="rId8"/>
  </externalReferences>
  <definedNames>
    <definedName name="_xlnm.Print_Area" localSheetId="6">მულაჟები!$A$1:$D$60</definedName>
  </definedNames>
  <calcPr calcId="152511"/>
</workbook>
</file>

<file path=xl/calcChain.xml><?xml version="1.0" encoding="utf-8"?>
<calcChain xmlns="http://schemas.openxmlformats.org/spreadsheetml/2006/main">
  <c r="E44" i="20" l="1"/>
  <c r="E42" i="20"/>
  <c r="C19" i="21"/>
  <c r="C18" i="21"/>
  <c r="C17" i="21"/>
  <c r="C16" i="21" s="1"/>
  <c r="C13" i="21"/>
  <c r="C12" i="21"/>
  <c r="C27" i="21" l="1"/>
  <c r="C28" i="21" l="1"/>
  <c r="C29" i="21" s="1"/>
  <c r="C30" i="21" l="1"/>
  <c r="C31" i="21" s="1"/>
  <c r="C32" i="21" s="1"/>
  <c r="D15" i="20" l="1"/>
  <c r="E43" i="20" l="1"/>
  <c r="E33" i="20"/>
  <c r="E23" i="20"/>
  <c r="E12" i="20"/>
  <c r="E34" i="20"/>
  <c r="E32" i="20"/>
  <c r="E24" i="20"/>
  <c r="E22" i="20"/>
  <c r="E10" i="20"/>
  <c r="E7" i="20" s="1"/>
  <c r="I23" i="16"/>
  <c r="E21" i="20" l="1"/>
  <c r="D26" i="20" s="1"/>
  <c r="E41" i="20"/>
  <c r="E18" i="20"/>
  <c r="E50" i="20" s="1"/>
  <c r="E31" i="20"/>
  <c r="D37" i="19"/>
  <c r="C29" i="19"/>
  <c r="C28" i="19"/>
  <c r="C22" i="19"/>
  <c r="C21" i="19"/>
  <c r="C19" i="19" s="1"/>
  <c r="C16" i="19"/>
  <c r="C15" i="19"/>
  <c r="D37" i="18"/>
  <c r="C29" i="18"/>
  <c r="C28" i="18"/>
  <c r="C22" i="18"/>
  <c r="C21" i="18"/>
  <c r="C19" i="18" s="1"/>
  <c r="C16" i="18"/>
  <c r="C15" i="18"/>
  <c r="D37" i="17"/>
  <c r="C29" i="17"/>
  <c r="C28" i="17"/>
  <c r="C22" i="17"/>
  <c r="C21" i="17"/>
  <c r="C19" i="17" s="1"/>
  <c r="C16" i="17"/>
  <c r="C15" i="17"/>
  <c r="E28" i="20" l="1"/>
  <c r="E51" i="20" s="1"/>
  <c r="D36" i="20"/>
  <c r="E38" i="20"/>
  <c r="E52" i="20" s="1"/>
  <c r="D46" i="20"/>
  <c r="C30" i="19"/>
  <c r="C30" i="18"/>
  <c r="C30" i="17"/>
  <c r="C28" i="16"/>
  <c r="C15" i="16"/>
  <c r="C22" i="16"/>
  <c r="C29" i="16"/>
  <c r="E1" i="20" l="1"/>
  <c r="C31" i="19"/>
  <c r="C32" i="19" s="1"/>
  <c r="C31" i="18"/>
  <c r="C32" i="18" s="1"/>
  <c r="C33" i="18" s="1"/>
  <c r="C34" i="18" s="1"/>
  <c r="C35" i="18" s="1"/>
  <c r="C31" i="17"/>
  <c r="C32" i="17" s="1"/>
  <c r="C21" i="16"/>
  <c r="C19" i="16" s="1"/>
  <c r="C16" i="16"/>
  <c r="D24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9" i="15"/>
  <c r="D8" i="15"/>
  <c r="B25" i="15"/>
  <c r="D25" i="15" l="1"/>
  <c r="C33" i="19"/>
  <c r="C34" i="19" s="1"/>
  <c r="C35" i="19" s="1"/>
  <c r="C33" i="17"/>
  <c r="C34" i="17" s="1"/>
  <c r="C35" i="17" s="1"/>
  <c r="C30" i="16"/>
  <c r="C31" i="16" s="1"/>
  <c r="C32" i="16" l="1"/>
  <c r="C33" i="16" s="1"/>
  <c r="C34" i="16" l="1"/>
  <c r="D37" i="16" l="1"/>
  <c r="C35" i="16"/>
</calcChain>
</file>

<file path=xl/sharedStrings.xml><?xml version="1.0" encoding="utf-8"?>
<sst xmlns="http://schemas.openxmlformats.org/spreadsheetml/2006/main" count="279" uniqueCount="85">
  <si>
    <t>დასახელება</t>
  </si>
  <si>
    <t>პირველადი ღირებულება</t>
  </si>
  <si>
    <t>თანხა</t>
  </si>
  <si>
    <t>სულ</t>
  </si>
  <si>
    <t>რ-ბა</t>
  </si>
  <si>
    <t xml:space="preserve">საქართველოს შრომის, ჯანმრთელობისა და სოციალური დაცვის სამინისტროს </t>
  </si>
  <si>
    <t>საინტუბაციო მილის  ჩადგმის ტრენაჟორი  (GD/J5S),</t>
  </si>
  <si>
    <t xml:space="preserve">მაღალი სიზუსტის მშობიარე ქალის სიმულატორის მანეკენი  (GD/F56) </t>
  </si>
  <si>
    <t>ენდოსკოპიური სიმულატორი (GI-BRONCH MENTOR)</t>
  </si>
  <si>
    <t>მოზრდილის კარდიორესპირატორული რეანიმაციის  სიმულატორი (GD/ALS750+GD/AED99F)</t>
  </si>
  <si>
    <t>მაღალი სიზუსტის ახალშობილის   სიმულატორი  (ACLS8000D+GD/AED99F+GD/J115)</t>
  </si>
  <si>
    <t>მაღალი სიზუსტის ადამიანის   სიმულატორი  (ACLS8000D+GD/AED99F+GD/J115)</t>
  </si>
  <si>
    <t>ფილტვის და გულის ტონების აუსკულტაციის სიმულატორი  (GD/Z990)</t>
  </si>
  <si>
    <t>ტრავმის დახვეწილი მართვის სიმულატორი   (GD/H126)</t>
  </si>
  <si>
    <t>პაციენტის მოვლის სიმულატორი (GD/H100s)</t>
  </si>
  <si>
    <t xml:space="preserve">დეფიბრილატორის სიმულატორი  (GD/ALS750+GD/AED99F)  </t>
  </si>
  <si>
    <t>ხელის მანეკენი ვენის კათეტერიზაციისათვის (GD/HS5M)</t>
  </si>
  <si>
    <t>ქირურგიული პაციენტის მანეკენი  (GD/LV18)</t>
  </si>
  <si>
    <t>ქირურგიული უნარების მოდელი   (GD/LV3)</t>
  </si>
  <si>
    <t>ცენტრალური ვენის კათეტერიზაციის მანეკენი  (GD/L69B)</t>
  </si>
  <si>
    <t>თორაკოცენტეზის სიმულატორი  (GD/L67)</t>
  </si>
  <si>
    <t>ადამიანის სიმულატორი მანეკენი სხვადასხვა ტრამვის სცენარებით  (GD/H113)</t>
  </si>
  <si>
    <t>კუნთში ინექციის სიმულატორი (GD/HS10B)</t>
  </si>
  <si>
    <t>ადგილზე</t>
  </si>
  <si>
    <t>ერთეულის ღირებულება</t>
  </si>
  <si>
    <t>ერთეულის გაქირავების საფასური (დღე)</t>
  </si>
  <si>
    <t>მხოლოდ ადგილზე</t>
  </si>
  <si>
    <t>ადგილზე ან გატანით</t>
  </si>
  <si>
    <t>სტუდენტების რაოდენობა</t>
  </si>
  <si>
    <t xml:space="preserve">სალექციო საათების რაოდენობა </t>
  </si>
  <si>
    <t>ინსტრუქტორების რაოდენობა</t>
  </si>
  <si>
    <t>თანხა საათში (დარიცხული) ლარი</t>
  </si>
  <si>
    <t>ადმინისტრაცია</t>
  </si>
  <si>
    <t>ფასნამატი</t>
  </si>
  <si>
    <t>კომენტარი</t>
  </si>
  <si>
    <t xml:space="preserve">ინსტრუქტორის ჰონორარი-ჯამი </t>
  </si>
  <si>
    <t>1 ინსტრუქტორის ჰონორარი 1 ჯგუფზე - 154 ლარი</t>
  </si>
  <si>
    <t>სატრენინგო მასალა</t>
  </si>
  <si>
    <t>13 ადამიანი</t>
  </si>
  <si>
    <t xml:space="preserve">CD </t>
  </si>
  <si>
    <t>ტექსტური მასალა დაკაბადონებული</t>
  </si>
  <si>
    <t>მულაჟები</t>
  </si>
  <si>
    <t xml:space="preserve">ცვეთა და მოვლა/შენახვა </t>
  </si>
  <si>
    <t>სახარჯი მასალის ხარჯი</t>
  </si>
  <si>
    <t>კვება</t>
  </si>
  <si>
    <t>ყავა/ჩაი</t>
  </si>
  <si>
    <t>წყალი</t>
  </si>
  <si>
    <t>ნამცხვარი</t>
  </si>
  <si>
    <t>ხაჭაფური/ლობიანი</t>
  </si>
  <si>
    <t>ხელსახოცები და სხვა</t>
  </si>
  <si>
    <t>კომუნალური</t>
  </si>
  <si>
    <t>მათ შორის ინტერნეტი</t>
  </si>
  <si>
    <t>ცვეთა</t>
  </si>
  <si>
    <t>დათვლილია მიახლოებით რადგან არ ვიცი ფართი ოთახის და არსებული ინვენტარის(გარდა მულაჟისა) ღირებულება</t>
  </si>
  <si>
    <t>ადმინისტრაციული ხარჯი</t>
  </si>
  <si>
    <t>გაუთვალისწინებელი ხარჯი 5%</t>
  </si>
  <si>
    <t>სულ ტრეინინგის ღირებულება</t>
  </si>
  <si>
    <t>ერთი სტუდენტი</t>
  </si>
  <si>
    <t xml:space="preserve"> სსიპ „სასწრაფო სამედიცინო დახმარების ცენტრი“- ს სასწავლო სატრენინგო ცენტრიში არსებული მულაღების, მესამე პირისათვის დროებითსარგებლობაში გადაცემის საფასური</t>
  </si>
  <si>
    <t>გაქირავება ადგილზე - ემატება სატრენინგო ოთახის საფასური 100 ლარი დღეში</t>
  </si>
  <si>
    <t xml:space="preserve">სალექციო დღეების რაოდენობა </t>
  </si>
  <si>
    <t>ინსტრუქტორი 2 საათები რაოდენობა</t>
  </si>
  <si>
    <t>ინსტრუქტორი 1 საათები რაოდენობა</t>
  </si>
  <si>
    <t>14 ადამიანი</t>
  </si>
  <si>
    <t>მულაჯის ღირებულების (3333ლარი) 3 %</t>
  </si>
  <si>
    <t>მულაჯის ღირებულების (3333) 3 %</t>
  </si>
  <si>
    <t>kargia</t>
  </si>
  <si>
    <t>“ტრავმული პაციენტის სტაბილიზაცია და ტრანსპორტირება“</t>
  </si>
  <si>
    <t>7 თვის განმავლობაში ტრენინგს გაივლის 252 ექიმი - 21 ჯგუფად</t>
  </si>
  <si>
    <t>“გადაუდებელი კარდიოლოგიური დახმარება"</t>
  </si>
  <si>
    <t>7 თვის განმავლობაში ტრენინგს გაივლის 336 ექიმი - 28 ჯგუფად</t>
  </si>
  <si>
    <t>„გადაუდებელი სამედიცინო დახმარების კურსი ექთნებისთვის“</t>
  </si>
  <si>
    <t>"პირველადი სამედიცინო დახმარება"</t>
  </si>
  <si>
    <t>7 თვის განმავლობაში ტრენინგს გაივლის 252 ექთანი - 21 ჯგუფად</t>
  </si>
  <si>
    <t>7 თვის განმავლობაში ტრენინგს გაივლის 420 მძღოლი - 21 ჯგუფად</t>
  </si>
  <si>
    <t>ერთი ჯგუფის ხარჯი (არ შედის ადმინისტრაციული, კომუნალური ხარჯი და ცვეთა)</t>
  </si>
  <si>
    <t>ერთი მსმენელის ღირებულება, დადგენილებით განფასებული</t>
  </si>
  <si>
    <t>ერთი მსმენელის ღირებულება, თანამშრომლის შემთხვევაში</t>
  </si>
  <si>
    <t>12 ადამიანი</t>
  </si>
  <si>
    <t>მულაჯის ღირებულების (10725ლარი) 3 %</t>
  </si>
  <si>
    <t>14 ადამიანი, სემინარის განმავლობაში 2-ჯერ</t>
  </si>
  <si>
    <t>ექიმების გადამზადება</t>
  </si>
  <si>
    <t>მედდების გადამზადება</t>
  </si>
  <si>
    <t>მძღოლების გადამზადება</t>
  </si>
  <si>
    <t xml:space="preserve">სსიპ სასწრაფო სამედიცინო დახმარების ცენტრის მიერ 2016 წლის განმავლობაში, სასწრაფო სამედიცინო დახმარების ბრიგადების წევრების კვალიფიკაციის ამაღლების მიზნით განსახორციელებელ ტრენინგებზე გასაწევი ხარჯი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</si>
</sst>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ლარი&quot;* #,##0_);"/>
    <numFmt numFmtId="165" formatCode="_(&quot;ლარი&quot;\ * #,##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4"/>
      <color theme="1"/>
      <name val="Calibri"/>
      <family val="2"/>
      <scheme val="minor"/>
    </font>
    <font>
      <sz val="12"/>
      <color theme="1"/>
      <name val="Sylfaen"/>
      <family val="1"/>
      <charset val="204"/>
    </font>
    <font>
      <b/>
      <sz val="14"/>
      <color theme="1"/>
      <name val="Sylfaen"/>
      <family val="1"/>
      <charset val="204"/>
    </font>
    <font>
      <b/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sz val="14"/>
      <color theme="1"/>
      <name val="Sylfaen"/>
      <family val="1"/>
      <charset val="204"/>
    </font>
    <font>
      <b/>
      <sz val="13"/>
      <color theme="1"/>
      <name val="Sylfaen"/>
      <family val="1"/>
      <charset val="204"/>
    </font>
    <font>
      <b/>
      <sz val="10"/>
      <color theme="1"/>
      <name val="AcadNusx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/>
    <xf numFmtId="0" fontId="10" fillId="0" borderId="0" xfId="0" applyFont="1" applyAlignment="1">
      <alignment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43" fontId="13" fillId="0" borderId="0" xfId="19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/>
    <xf numFmtId="0" fontId="13" fillId="0" borderId="0" xfId="0" applyFont="1" applyBorder="1" applyAlignment="1">
      <alignment vertical="center" wrapText="1"/>
    </xf>
    <xf numFmtId="0" fontId="13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/>
    </xf>
    <xf numFmtId="43" fontId="13" fillId="0" borderId="3" xfId="19" applyFont="1" applyBorder="1" applyAlignment="1">
      <alignment horizontal="right" vertical="center"/>
    </xf>
    <xf numFmtId="0" fontId="14" fillId="0" borderId="3" xfId="0" applyFont="1" applyBorder="1" applyAlignment="1">
      <alignment horizontal="left" vertical="center" wrapText="1"/>
    </xf>
    <xf numFmtId="43" fontId="13" fillId="0" borderId="1" xfId="19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 wrapText="1"/>
    </xf>
    <xf numFmtId="43" fontId="14" fillId="0" borderId="0" xfId="0" applyNumberFormat="1" applyFont="1"/>
    <xf numFmtId="43" fontId="14" fillId="0" borderId="1" xfId="19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/>
    </xf>
    <xf numFmtId="43" fontId="14" fillId="0" borderId="0" xfId="19" applyFont="1" applyAlignment="1">
      <alignment vertical="center"/>
    </xf>
    <xf numFmtId="2" fontId="14" fillId="0" borderId="1" xfId="0" applyNumberFormat="1" applyFont="1" applyBorder="1"/>
    <xf numFmtId="43" fontId="13" fillId="0" borderId="1" xfId="19" applyFont="1" applyBorder="1" applyAlignment="1">
      <alignment horizontal="center" vertical="center" wrapText="1"/>
    </xf>
    <xf numFmtId="43" fontId="13" fillId="0" borderId="1" xfId="19" applyFont="1" applyBorder="1" applyAlignment="1">
      <alignment horizontal="right" vertical="center" wrapText="1"/>
    </xf>
    <xf numFmtId="9" fontId="14" fillId="0" borderId="1" xfId="0" applyNumberFormat="1" applyFont="1" applyBorder="1" applyAlignment="1">
      <alignment horizontal="left" vertical="center" wrapText="1"/>
    </xf>
    <xf numFmtId="43" fontId="13" fillId="0" borderId="2" xfId="19" applyFont="1" applyBorder="1" applyAlignment="1">
      <alignment horizontal="right" vertical="center" wrapText="1"/>
    </xf>
    <xf numFmtId="9" fontId="14" fillId="0" borderId="2" xfId="0" applyNumberFormat="1" applyFont="1" applyBorder="1" applyAlignment="1">
      <alignment horizontal="left" vertical="center" wrapText="1"/>
    </xf>
    <xf numFmtId="43" fontId="13" fillId="0" borderId="3" xfId="19" applyFont="1" applyBorder="1" applyAlignment="1">
      <alignment horizontal="right" vertical="center" wrapText="1"/>
    </xf>
    <xf numFmtId="9" fontId="14" fillId="0" borderId="3" xfId="0" applyNumberFormat="1" applyFont="1" applyBorder="1" applyAlignment="1">
      <alignment horizontal="left" vertical="center" wrapText="1"/>
    </xf>
    <xf numFmtId="43" fontId="17" fillId="0" borderId="3" xfId="19" applyFont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/>
    <xf numFmtId="43" fontId="14" fillId="0" borderId="0" xfId="0" applyNumberFormat="1" applyFont="1" applyAlignment="1">
      <alignment horizontal="left" vertical="center"/>
    </xf>
    <xf numFmtId="9" fontId="18" fillId="0" borderId="0" xfId="20" applyFont="1" applyBorder="1" applyAlignment="1">
      <alignment horizontal="right" vertical="center" wrapText="1"/>
    </xf>
    <xf numFmtId="9" fontId="18" fillId="0" borderId="0" xfId="20" applyNumberFormat="1" applyFont="1" applyBorder="1" applyAlignment="1">
      <alignment horizontal="right" vertical="center" wrapText="1"/>
    </xf>
    <xf numFmtId="43" fontId="14" fillId="0" borderId="0" xfId="19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43" fontId="18" fillId="0" borderId="3" xfId="19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8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6" fillId="0" borderId="5" xfId="21" applyFont="1" applyBorder="1" applyAlignment="1">
      <alignment horizontal="right" vertical="center" wrapText="1"/>
    </xf>
    <xf numFmtId="0" fontId="16" fillId="0" borderId="8" xfId="21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13" fillId="0" borderId="6" xfId="0" applyFont="1" applyBorder="1" applyAlignment="1">
      <alignment horizontal="right" vertical="center" wrapText="1"/>
    </xf>
    <xf numFmtId="0" fontId="13" fillId="0" borderId="9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2" fontId="14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0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2" fontId="20" fillId="0" borderId="0" xfId="0" applyNumberFormat="1" applyFont="1" applyAlignment="1">
      <alignment horizontal="right" vertical="center"/>
    </xf>
    <xf numFmtId="43" fontId="20" fillId="0" borderId="0" xfId="19" applyFont="1" applyAlignment="1">
      <alignment horizontal="right" vertical="center"/>
    </xf>
    <xf numFmtId="165" fontId="23" fillId="0" borderId="0" xfId="19" applyNumberFormat="1" applyFont="1" applyBorder="1" applyAlignment="1">
      <alignment horizontal="center" vertical="center" wrapText="1"/>
    </xf>
    <xf numFmtId="9" fontId="13" fillId="0" borderId="0" xfId="20" applyFont="1" applyBorder="1" applyAlignment="1">
      <alignment horizontal="right" vertical="center" wrapText="1"/>
    </xf>
    <xf numFmtId="164" fontId="14" fillId="0" borderId="0" xfId="0" applyNumberFormat="1" applyFont="1" applyAlignment="1">
      <alignment horizontal="right" vertical="center"/>
    </xf>
    <xf numFmtId="165" fontId="23" fillId="0" borderId="0" xfId="19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22">
    <cellStyle name="Comma" xfId="19" builtinId="3"/>
    <cellStyle name="Hyperlink" xfId="21" builtinId="8"/>
    <cellStyle name="Normal" xfId="0" builtinId="0"/>
    <cellStyle name="Normal 2" xfId="1"/>
    <cellStyle name="Normal 2 2" xfId="2"/>
    <cellStyle name="Normal 2 2 2" xfId="4"/>
    <cellStyle name="Normal 2 2 2 2" xfId="13"/>
    <cellStyle name="Normal 2 2 3" xfId="8"/>
    <cellStyle name="Normal 2 2 3 2" xfId="12"/>
    <cellStyle name="Normal 2 2 4" xfId="10"/>
    <cellStyle name="Normal 2 3" xfId="3"/>
    <cellStyle name="Normal 2 3 2" xfId="14"/>
    <cellStyle name="Normal 2 4" xfId="7"/>
    <cellStyle name="Normal 2 4 2" xfId="11"/>
    <cellStyle name="Normal 2 5" xfId="9"/>
    <cellStyle name="Normal 2 6" xfId="17"/>
    <cellStyle name="Normal 3" xfId="6"/>
    <cellStyle name="Normal 3 2" xfId="18"/>
    <cellStyle name="Normal 3 3" xfId="15"/>
    <cellStyle name="Normal 4" xfId="5"/>
    <cellStyle name="Percent" xfId="20" builtinId="5"/>
    <cellStyle name="Percent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0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247650</xdr:rowOff>
    </xdr:from>
    <xdr:ext cx="184731" cy="264560"/>
    <xdr:sp macro="" textlink="">
      <xdr:nvSpPr>
        <xdr:cNvPr id="4" name="TextBox 3"/>
        <xdr:cNvSpPr txBox="1"/>
      </xdr:nvSpPr>
      <xdr:spPr>
        <a:xfrm>
          <a:off x="0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247650</xdr:rowOff>
    </xdr:from>
    <xdr:ext cx="184731" cy="264560"/>
    <xdr:sp macro="" textlink="">
      <xdr:nvSpPr>
        <xdr:cNvPr id="5" name="TextBox 4"/>
        <xdr:cNvSpPr txBox="1"/>
      </xdr:nvSpPr>
      <xdr:spPr>
        <a:xfrm>
          <a:off x="0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247650</xdr:rowOff>
    </xdr:from>
    <xdr:ext cx="184731" cy="264560"/>
    <xdr:sp macro="" textlink="">
      <xdr:nvSpPr>
        <xdr:cNvPr id="6" name="TextBox 5"/>
        <xdr:cNvSpPr txBox="1"/>
      </xdr:nvSpPr>
      <xdr:spPr>
        <a:xfrm>
          <a:off x="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247650</xdr:rowOff>
    </xdr:from>
    <xdr:ext cx="184731" cy="264560"/>
    <xdr:sp macro="" textlink="">
      <xdr:nvSpPr>
        <xdr:cNvPr id="7" name="TextBox 6"/>
        <xdr:cNvSpPr txBox="1"/>
      </xdr:nvSpPr>
      <xdr:spPr>
        <a:xfrm>
          <a:off x="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SD%20CENTER\2015\First%20Aid%20Training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სახარჯი მსალა"/>
    </sheetNames>
    <sheetDataSet>
      <sheetData sheetId="0" refreshError="1"/>
      <sheetData sheetId="1">
        <row r="16">
          <cell r="G16">
            <v>70.833333333333329</v>
          </cell>
        </row>
        <row r="26">
          <cell r="F26">
            <v>82.1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52"/>
  <sheetViews>
    <sheetView tabSelected="1" zoomScaleNormal="100" workbookViewId="0">
      <selection activeCell="C5" sqref="C5"/>
    </sheetView>
  </sheetViews>
  <sheetFormatPr defaultRowHeight="15" x14ac:dyDescent="0.25"/>
  <cols>
    <col min="1" max="1" width="9.140625" style="67"/>
    <col min="2" max="2" width="4" style="67" customWidth="1"/>
    <col min="3" max="3" width="82.7109375" style="67" bestFit="1" customWidth="1"/>
    <col min="4" max="4" width="6.85546875" style="73" bestFit="1" customWidth="1"/>
    <col min="5" max="5" width="20.85546875" style="67" customWidth="1"/>
    <col min="6" max="16384" width="9.140625" style="67"/>
  </cols>
  <sheetData>
    <row r="1" spans="1:5" ht="24.75" customHeight="1" x14ac:dyDescent="0.25">
      <c r="A1" s="85" t="s">
        <v>84</v>
      </c>
      <c r="B1" s="85"/>
      <c r="C1" s="85"/>
      <c r="D1" s="76"/>
      <c r="E1" s="81">
        <f>E7+E18+E28+E38</f>
        <v>113228</v>
      </c>
    </row>
    <row r="2" spans="1:5" ht="24.75" customHeight="1" x14ac:dyDescent="0.25">
      <c r="A2" s="85"/>
      <c r="B2" s="85"/>
      <c r="C2" s="85"/>
      <c r="D2" s="76"/>
      <c r="E2" s="81"/>
    </row>
    <row r="3" spans="1:5" ht="24.75" customHeight="1" x14ac:dyDescent="0.25">
      <c r="A3" s="86"/>
      <c r="B3" s="86"/>
      <c r="C3" s="86"/>
      <c r="D3" s="76"/>
      <c r="E3" s="84"/>
    </row>
    <row r="4" spans="1:5" ht="24.75" customHeight="1" x14ac:dyDescent="0.25">
      <c r="B4" s="74"/>
      <c r="C4" s="74"/>
      <c r="D4" s="76"/>
      <c r="E4" s="84"/>
    </row>
    <row r="5" spans="1:5" ht="24.75" customHeight="1" x14ac:dyDescent="0.25">
      <c r="B5" s="74"/>
      <c r="C5" s="74"/>
      <c r="D5" s="76"/>
      <c r="E5" s="84"/>
    </row>
    <row r="7" spans="1:5" x14ac:dyDescent="0.25">
      <c r="B7" s="75" t="s">
        <v>67</v>
      </c>
      <c r="C7" s="75"/>
      <c r="D7" s="77"/>
      <c r="E7" s="72">
        <f>E10*21</f>
        <v>58581.599999999999</v>
      </c>
    </row>
    <row r="8" spans="1:5" x14ac:dyDescent="0.25">
      <c r="C8" s="42" t="s">
        <v>68</v>
      </c>
    </row>
    <row r="10" spans="1:5" x14ac:dyDescent="0.25">
      <c r="C10" s="68" t="s">
        <v>75</v>
      </c>
      <c r="D10" s="78"/>
      <c r="E10" s="69">
        <f>SUM(E11:E13)</f>
        <v>2789.6</v>
      </c>
    </row>
    <row r="11" spans="1:5" x14ac:dyDescent="0.25">
      <c r="C11" s="73" t="s">
        <v>35</v>
      </c>
      <c r="E11" s="71">
        <v>1632</v>
      </c>
    </row>
    <row r="12" spans="1:5" x14ac:dyDescent="0.25">
      <c r="C12" s="73" t="s">
        <v>37</v>
      </c>
      <c r="E12" s="71">
        <f>39.6+40</f>
        <v>79.599999999999994</v>
      </c>
    </row>
    <row r="13" spans="1:5" x14ac:dyDescent="0.25">
      <c r="C13" s="73" t="s">
        <v>44</v>
      </c>
      <c r="E13" s="71">
        <v>1078</v>
      </c>
    </row>
    <row r="14" spans="1:5" x14ac:dyDescent="0.25">
      <c r="C14" s="73" t="s">
        <v>76</v>
      </c>
      <c r="D14" s="79">
        <v>355</v>
      </c>
    </row>
    <row r="15" spans="1:5" x14ac:dyDescent="0.25">
      <c r="C15" s="73" t="s">
        <v>77</v>
      </c>
      <c r="D15" s="79">
        <f>E10/12</f>
        <v>232.46666666666667</v>
      </c>
    </row>
    <row r="18" spans="2:11" x14ac:dyDescent="0.25">
      <c r="B18" s="75" t="s">
        <v>69</v>
      </c>
      <c r="C18" s="75"/>
      <c r="D18" s="77"/>
      <c r="E18" s="72">
        <f>E21*28</f>
        <v>18356.8</v>
      </c>
    </row>
    <row r="19" spans="2:11" x14ac:dyDescent="0.25">
      <c r="C19" s="42" t="s">
        <v>70</v>
      </c>
    </row>
    <row r="21" spans="2:11" x14ac:dyDescent="0.25">
      <c r="C21" s="68" t="s">
        <v>75</v>
      </c>
      <c r="D21" s="78"/>
      <c r="E21" s="69">
        <f>SUM(E22:E24)</f>
        <v>655.6</v>
      </c>
    </row>
    <row r="22" spans="2:11" x14ac:dyDescent="0.25">
      <c r="C22" s="73" t="s">
        <v>35</v>
      </c>
      <c r="E22" s="71">
        <f>კარდიოლოგია!C15</f>
        <v>408</v>
      </c>
    </row>
    <row r="23" spans="2:11" x14ac:dyDescent="0.25">
      <c r="C23" s="73" t="s">
        <v>37</v>
      </c>
      <c r="E23" s="71">
        <f>39.6+40</f>
        <v>79.599999999999994</v>
      </c>
    </row>
    <row r="24" spans="2:11" x14ac:dyDescent="0.25">
      <c r="C24" s="73" t="s">
        <v>44</v>
      </c>
      <c r="E24" s="71">
        <f>კარდიოლოგია!C22</f>
        <v>168</v>
      </c>
    </row>
    <row r="25" spans="2:11" x14ac:dyDescent="0.25">
      <c r="C25" s="73" t="s">
        <v>76</v>
      </c>
      <c r="D25" s="79">
        <v>140</v>
      </c>
    </row>
    <row r="26" spans="2:11" x14ac:dyDescent="0.25">
      <c r="C26" s="73" t="s">
        <v>77</v>
      </c>
      <c r="D26" s="79">
        <f>E21/12</f>
        <v>54.633333333333333</v>
      </c>
    </row>
    <row r="28" spans="2:11" x14ac:dyDescent="0.25">
      <c r="B28" s="75" t="s">
        <v>71</v>
      </c>
      <c r="C28" s="75"/>
      <c r="D28" s="77"/>
      <c r="E28" s="72">
        <f>E31*21</f>
        <v>24897.599999999999</v>
      </c>
      <c r="F28" s="1"/>
      <c r="G28" s="1"/>
      <c r="H28" s="1"/>
      <c r="I28" s="1"/>
      <c r="J28" s="1"/>
      <c r="K28" s="1"/>
    </row>
    <row r="29" spans="2:11" x14ac:dyDescent="0.25">
      <c r="C29" s="42" t="s">
        <v>73</v>
      </c>
    </row>
    <row r="31" spans="2:11" x14ac:dyDescent="0.25">
      <c r="C31" s="68" t="s">
        <v>75</v>
      </c>
      <c r="D31" s="78"/>
      <c r="E31" s="69">
        <f>SUM(E32:E34)</f>
        <v>1185.5999999999999</v>
      </c>
    </row>
    <row r="32" spans="2:11" x14ac:dyDescent="0.25">
      <c r="C32" s="73" t="s">
        <v>35</v>
      </c>
      <c r="E32" s="71">
        <f>ექთნები!C15</f>
        <v>714</v>
      </c>
    </row>
    <row r="33" spans="2:11" x14ac:dyDescent="0.25">
      <c r="C33" s="73" t="s">
        <v>37</v>
      </c>
      <c r="E33" s="71">
        <f>39.6+40</f>
        <v>79.599999999999994</v>
      </c>
    </row>
    <row r="34" spans="2:11" x14ac:dyDescent="0.25">
      <c r="C34" s="73" t="s">
        <v>44</v>
      </c>
      <c r="E34" s="71">
        <f>ექთნები!C22</f>
        <v>392</v>
      </c>
    </row>
    <row r="35" spans="2:11" x14ac:dyDescent="0.25">
      <c r="C35" s="73" t="s">
        <v>76</v>
      </c>
      <c r="D35" s="79">
        <v>180</v>
      </c>
      <c r="E35" s="71"/>
    </row>
    <row r="36" spans="2:11" x14ac:dyDescent="0.25">
      <c r="C36" s="73" t="s">
        <v>77</v>
      </c>
      <c r="D36" s="79">
        <f>E31/12</f>
        <v>98.8</v>
      </c>
    </row>
    <row r="38" spans="2:11" x14ac:dyDescent="0.25">
      <c r="B38" s="75" t="s">
        <v>72</v>
      </c>
      <c r="C38" s="75"/>
      <c r="D38" s="77"/>
      <c r="E38" s="72">
        <f>E41*20</f>
        <v>11392</v>
      </c>
      <c r="F38" s="1"/>
      <c r="G38" s="1"/>
      <c r="H38" s="1"/>
      <c r="I38" s="1"/>
      <c r="J38" s="1"/>
      <c r="K38" s="1"/>
    </row>
    <row r="39" spans="2:11" x14ac:dyDescent="0.25">
      <c r="C39" s="42" t="s">
        <v>74</v>
      </c>
    </row>
    <row r="41" spans="2:11" x14ac:dyDescent="0.25">
      <c r="C41" s="68" t="s">
        <v>75</v>
      </c>
      <c r="D41" s="78"/>
      <c r="E41" s="69">
        <f>SUM(E42:E44)</f>
        <v>569.6</v>
      </c>
    </row>
    <row r="42" spans="2:11" x14ac:dyDescent="0.25">
      <c r="C42" s="73" t="s">
        <v>35</v>
      </c>
      <c r="E42" s="71">
        <f>'First aid'!C12</f>
        <v>308</v>
      </c>
    </row>
    <row r="43" spans="2:11" x14ac:dyDescent="0.25">
      <c r="C43" s="73" t="s">
        <v>37</v>
      </c>
      <c r="E43" s="71">
        <f>39.6+40</f>
        <v>79.599999999999994</v>
      </c>
    </row>
    <row r="44" spans="2:11" x14ac:dyDescent="0.25">
      <c r="C44" s="73" t="s">
        <v>44</v>
      </c>
      <c r="E44" s="71">
        <f>'First aid'!C19</f>
        <v>182</v>
      </c>
    </row>
    <row r="45" spans="2:11" x14ac:dyDescent="0.25">
      <c r="C45" s="73" t="s">
        <v>76</v>
      </c>
      <c r="D45" s="80">
        <v>105</v>
      </c>
    </row>
    <row r="46" spans="2:11" x14ac:dyDescent="0.25">
      <c r="C46" s="73" t="s">
        <v>77</v>
      </c>
      <c r="D46" s="80">
        <f>E41/12</f>
        <v>47.466666666666669</v>
      </c>
    </row>
    <row r="50" spans="3:5" x14ac:dyDescent="0.25">
      <c r="C50" s="70" t="s">
        <v>81</v>
      </c>
      <c r="E50" s="83">
        <f>E7+E18</f>
        <v>76938.399999999994</v>
      </c>
    </row>
    <row r="51" spans="3:5" x14ac:dyDescent="0.25">
      <c r="C51" s="70" t="s">
        <v>82</v>
      </c>
      <c r="E51" s="83">
        <f>E28</f>
        <v>24897.599999999999</v>
      </c>
    </row>
    <row r="52" spans="3:5" x14ac:dyDescent="0.25">
      <c r="C52" s="70" t="s">
        <v>83</v>
      </c>
      <c r="E52" s="83">
        <f>E38</f>
        <v>11392</v>
      </c>
    </row>
  </sheetData>
  <mergeCells count="6">
    <mergeCell ref="A1:C2"/>
    <mergeCell ref="B7:C7"/>
    <mergeCell ref="B18:C18"/>
    <mergeCell ref="B28:C28"/>
    <mergeCell ref="B38:C38"/>
    <mergeCell ref="E1:E2"/>
  </mergeCells>
  <pageMargins left="0.7" right="0.7" top="0.75" bottom="0.75" header="0.3" footer="0.3"/>
  <pageSetup scale="73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3"/>
  <sheetViews>
    <sheetView topLeftCell="A7" zoomScaleNormal="100" workbookViewId="0">
      <selection activeCell="F5" sqref="F5"/>
    </sheetView>
  </sheetViews>
  <sheetFormatPr defaultRowHeight="12.75" x14ac:dyDescent="0.2"/>
  <cols>
    <col min="1" max="1" width="35.140625" style="42" bestFit="1" customWidth="1"/>
    <col min="2" max="2" width="8" style="43" customWidth="1"/>
    <col min="3" max="3" width="10.7109375" style="19" bestFit="1" customWidth="1"/>
    <col min="4" max="4" width="49.7109375" style="19" customWidth="1"/>
    <col min="5" max="5" width="10.5703125" style="20" bestFit="1" customWidth="1"/>
    <col min="6" max="16384" width="9.140625" style="20"/>
  </cols>
  <sheetData>
    <row r="3" spans="1:5" ht="15" customHeight="1" x14ac:dyDescent="0.2">
      <c r="A3" s="17" t="s">
        <v>28</v>
      </c>
      <c r="B3" s="18">
        <v>12</v>
      </c>
      <c r="D3" s="20"/>
    </row>
    <row r="4" spans="1:5" ht="15" customHeight="1" x14ac:dyDescent="0.2">
      <c r="A4" s="21" t="s">
        <v>29</v>
      </c>
      <c r="B4" s="18">
        <v>11</v>
      </c>
      <c r="D4" s="20"/>
    </row>
    <row r="5" spans="1:5" ht="15" customHeight="1" x14ac:dyDescent="0.2">
      <c r="A5" s="17" t="s">
        <v>30</v>
      </c>
      <c r="B5" s="18">
        <v>2</v>
      </c>
      <c r="D5" s="20"/>
    </row>
    <row r="6" spans="1:5" ht="15" customHeight="1" x14ac:dyDescent="0.2">
      <c r="A6" s="21" t="s">
        <v>31</v>
      </c>
      <c r="B6" s="18">
        <v>14</v>
      </c>
      <c r="D6" s="20"/>
    </row>
    <row r="7" spans="1:5" ht="15" customHeight="1" x14ac:dyDescent="0.2">
      <c r="A7" s="21" t="s">
        <v>32</v>
      </c>
      <c r="B7" s="82">
        <v>0.05</v>
      </c>
      <c r="D7" s="20"/>
    </row>
    <row r="8" spans="1:5" ht="15" customHeight="1" x14ac:dyDescent="0.2">
      <c r="A8" s="21" t="s">
        <v>33</v>
      </c>
      <c r="B8" s="82">
        <v>0.1</v>
      </c>
      <c r="D8" s="20"/>
    </row>
    <row r="9" spans="1:5" ht="15" customHeight="1" x14ac:dyDescent="0.2">
      <c r="A9" s="21"/>
      <c r="B9" s="18"/>
      <c r="D9" s="20"/>
    </row>
    <row r="10" spans="1:5" ht="15" customHeight="1" x14ac:dyDescent="0.2">
      <c r="A10" s="20"/>
      <c r="B10" s="20"/>
      <c r="C10" s="20"/>
      <c r="D10" s="20"/>
    </row>
    <row r="11" spans="1:5" ht="15" customHeight="1" thickBot="1" x14ac:dyDescent="0.25">
      <c r="A11" s="53" t="s">
        <v>0</v>
      </c>
      <c r="B11" s="53"/>
      <c r="C11" s="22" t="s">
        <v>2</v>
      </c>
      <c r="D11" s="49" t="s">
        <v>34</v>
      </c>
    </row>
    <row r="12" spans="1:5" x14ac:dyDescent="0.2">
      <c r="A12" s="54" t="s">
        <v>35</v>
      </c>
      <c r="B12" s="55"/>
      <c r="C12" s="24">
        <f>B6*B5*B4</f>
        <v>308</v>
      </c>
      <c r="D12" s="25" t="s">
        <v>36</v>
      </c>
    </row>
    <row r="13" spans="1:5" x14ac:dyDescent="0.2">
      <c r="A13" s="56" t="s">
        <v>37</v>
      </c>
      <c r="B13" s="57"/>
      <c r="C13" s="26">
        <f>(C14+C15)*12</f>
        <v>39.599999999999994</v>
      </c>
      <c r="D13" s="27" t="s">
        <v>78</v>
      </c>
      <c r="E13" s="28"/>
    </row>
    <row r="14" spans="1:5" x14ac:dyDescent="0.2">
      <c r="A14" s="51" t="s">
        <v>39</v>
      </c>
      <c r="B14" s="52"/>
      <c r="C14" s="29">
        <v>1.2</v>
      </c>
      <c r="D14" s="27"/>
    </row>
    <row r="15" spans="1:5" x14ac:dyDescent="0.2">
      <c r="A15" s="51" t="s">
        <v>40</v>
      </c>
      <c r="B15" s="52"/>
      <c r="C15" s="29">
        <v>2.1</v>
      </c>
      <c r="D15" s="27"/>
    </row>
    <row r="16" spans="1:5" x14ac:dyDescent="0.2">
      <c r="A16" s="56" t="s">
        <v>41</v>
      </c>
      <c r="B16" s="57"/>
      <c r="C16" s="26">
        <f>C17+C18</f>
        <v>474.68333333333334</v>
      </c>
      <c r="D16" s="30"/>
      <c r="E16" s="31"/>
    </row>
    <row r="17" spans="1:5" x14ac:dyDescent="0.2">
      <c r="A17" s="51" t="s">
        <v>42</v>
      </c>
      <c r="B17" s="52"/>
      <c r="C17" s="29">
        <f>10725*3%</f>
        <v>321.75</v>
      </c>
      <c r="D17" s="27" t="s">
        <v>79</v>
      </c>
    </row>
    <row r="18" spans="1:5" ht="15" x14ac:dyDescent="0.25">
      <c r="A18" s="58" t="s">
        <v>43</v>
      </c>
      <c r="B18" s="59"/>
      <c r="C18" s="32">
        <f>'[1]სახარჯი მსალა'!G16+'[1]სახარჯი მსალა'!F26</f>
        <v>152.93333333333334</v>
      </c>
      <c r="D18" s="6"/>
      <c r="E18" s="28"/>
    </row>
    <row r="19" spans="1:5" x14ac:dyDescent="0.2">
      <c r="A19" s="56" t="s">
        <v>44</v>
      </c>
      <c r="B19" s="57"/>
      <c r="C19" s="33">
        <f>SUM(C20:C24)*14</f>
        <v>182</v>
      </c>
      <c r="D19" s="27" t="s">
        <v>80</v>
      </c>
      <c r="E19" s="28"/>
    </row>
    <row r="20" spans="1:5" x14ac:dyDescent="0.2">
      <c r="A20" s="51" t="s">
        <v>45</v>
      </c>
      <c r="B20" s="52"/>
      <c r="C20" s="29">
        <v>2</v>
      </c>
      <c r="D20" s="27"/>
    </row>
    <row r="21" spans="1:5" x14ac:dyDescent="0.2">
      <c r="A21" s="60" t="s">
        <v>46</v>
      </c>
      <c r="B21" s="61"/>
      <c r="C21" s="29">
        <v>1</v>
      </c>
      <c r="D21" s="30"/>
    </row>
    <row r="22" spans="1:5" x14ac:dyDescent="0.2">
      <c r="A22" s="51" t="s">
        <v>47</v>
      </c>
      <c r="B22" s="52"/>
      <c r="C22" s="29">
        <v>4</v>
      </c>
      <c r="D22" s="27"/>
    </row>
    <row r="23" spans="1:5" x14ac:dyDescent="0.2">
      <c r="A23" s="51" t="s">
        <v>48</v>
      </c>
      <c r="B23" s="52"/>
      <c r="C23" s="29">
        <v>4</v>
      </c>
      <c r="D23" s="27"/>
    </row>
    <row r="24" spans="1:5" x14ac:dyDescent="0.2">
      <c r="A24" s="51" t="s">
        <v>49</v>
      </c>
      <c r="B24" s="52"/>
      <c r="C24" s="29">
        <v>2</v>
      </c>
      <c r="D24" s="27"/>
    </row>
    <row r="25" spans="1:5" x14ac:dyDescent="0.2">
      <c r="A25" s="56" t="s">
        <v>50</v>
      </c>
      <c r="B25" s="57"/>
      <c r="C25" s="33">
        <v>40</v>
      </c>
      <c r="D25" s="27" t="s">
        <v>51</v>
      </c>
    </row>
    <row r="26" spans="1:5" ht="38.25" x14ac:dyDescent="0.2">
      <c r="A26" s="56" t="s">
        <v>52</v>
      </c>
      <c r="B26" s="57"/>
      <c r="C26" s="33">
        <v>20</v>
      </c>
      <c r="D26" s="27" t="s">
        <v>53</v>
      </c>
    </row>
    <row r="27" spans="1:5" x14ac:dyDescent="0.2">
      <c r="A27" s="56" t="s">
        <v>54</v>
      </c>
      <c r="B27" s="57"/>
      <c r="C27" s="34">
        <f>SUM(C26,C25,C19,C16,C13,C12)*B7</f>
        <v>53.214166666666671</v>
      </c>
      <c r="D27" s="35"/>
    </row>
    <row r="28" spans="1:5" x14ac:dyDescent="0.2">
      <c r="A28" s="56" t="s">
        <v>55</v>
      </c>
      <c r="B28" s="57"/>
      <c r="C28" s="34">
        <f>SUM(C27,C26,C25,C19,C16,C13,C12)*2%</f>
        <v>22.34995</v>
      </c>
      <c r="D28" s="35"/>
    </row>
    <row r="29" spans="1:5" ht="13.5" thickBot="1" x14ac:dyDescent="0.25">
      <c r="A29" s="62" t="s">
        <v>3</v>
      </c>
      <c r="B29" s="63"/>
      <c r="C29" s="36">
        <f>SUM(C27,C26,C25,C19,C16,C13,C12,C28)</f>
        <v>1139.84745</v>
      </c>
      <c r="D29" s="37"/>
    </row>
    <row r="30" spans="1:5" x14ac:dyDescent="0.2">
      <c r="A30" s="54" t="s">
        <v>33</v>
      </c>
      <c r="B30" s="55"/>
      <c r="C30" s="38">
        <f>C29*B8</f>
        <v>113.984745</v>
      </c>
      <c r="D30" s="39"/>
    </row>
    <row r="31" spans="1:5" ht="13.5" thickBot="1" x14ac:dyDescent="0.25">
      <c r="A31" s="62" t="s">
        <v>56</v>
      </c>
      <c r="B31" s="63"/>
      <c r="C31" s="36">
        <f>C29+C30</f>
        <v>1253.832195</v>
      </c>
      <c r="D31" s="37"/>
    </row>
    <row r="32" spans="1:5" x14ac:dyDescent="0.2">
      <c r="A32" s="64" t="s">
        <v>57</v>
      </c>
      <c r="B32" s="65"/>
      <c r="C32" s="40">
        <f>C31/B3</f>
        <v>104.48601624999999</v>
      </c>
      <c r="D32" s="25"/>
    </row>
    <row r="33" spans="1:5" x14ac:dyDescent="0.2">
      <c r="A33" s="41"/>
      <c r="B33" s="41"/>
      <c r="C33" s="41"/>
      <c r="D33" s="41"/>
      <c r="E33" s="41"/>
    </row>
  </sheetData>
  <mergeCells count="22"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</mergeCells>
  <hyperlinks>
    <hyperlink ref="A18" location="'სახარჯი მსალა'!A1" display="სახარჯი მასალის ხარჯი"/>
  </hyperlinks>
  <pageMargins left="0.7" right="0.7" top="0.75" bottom="0.75" header="0.3" footer="0.3"/>
  <pageSetup paperSize="9" scale="8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10" zoomScaleNormal="100" workbookViewId="0">
      <selection activeCell="A17" sqref="A17:B17"/>
    </sheetView>
  </sheetViews>
  <sheetFormatPr defaultRowHeight="12.75" x14ac:dyDescent="0.2"/>
  <cols>
    <col min="1" max="1" width="44" style="42" customWidth="1"/>
    <col min="2" max="2" width="8" style="43" customWidth="1"/>
    <col min="3" max="3" width="10.7109375" style="19" bestFit="1" customWidth="1"/>
    <col min="4" max="4" width="49.7109375" style="19" customWidth="1"/>
    <col min="5" max="5" width="10.5703125" style="20" bestFit="1" customWidth="1"/>
    <col min="6" max="6" width="17.28515625" style="20" customWidth="1"/>
    <col min="7" max="16384" width="9.140625" style="20"/>
  </cols>
  <sheetData>
    <row r="1" spans="1:7" x14ac:dyDescent="0.2">
      <c r="D1" s="19" t="s">
        <v>66</v>
      </c>
    </row>
    <row r="3" spans="1:7" ht="15" customHeight="1" x14ac:dyDescent="0.2">
      <c r="A3" s="17" t="s">
        <v>28</v>
      </c>
      <c r="B3" s="47">
        <v>12</v>
      </c>
      <c r="D3" s="20"/>
    </row>
    <row r="4" spans="1:7" ht="15" customHeight="1" x14ac:dyDescent="0.2">
      <c r="A4" s="21" t="s">
        <v>29</v>
      </c>
      <c r="B4" s="47">
        <v>66</v>
      </c>
      <c r="D4" s="20"/>
    </row>
    <row r="5" spans="1:7" ht="15" customHeight="1" x14ac:dyDescent="0.2">
      <c r="A5" s="21" t="s">
        <v>60</v>
      </c>
      <c r="B5" s="47">
        <v>11</v>
      </c>
      <c r="D5" s="20"/>
    </row>
    <row r="6" spans="1:7" ht="15" customHeight="1" x14ac:dyDescent="0.2">
      <c r="A6" s="21" t="s">
        <v>31</v>
      </c>
      <c r="B6" s="47">
        <v>17</v>
      </c>
      <c r="D6" s="20"/>
      <c r="E6" s="28"/>
      <c r="F6" s="28"/>
    </row>
    <row r="7" spans="1:7" ht="15" customHeight="1" x14ac:dyDescent="0.2">
      <c r="A7" s="17" t="s">
        <v>30</v>
      </c>
      <c r="B7" s="47">
        <v>2</v>
      </c>
      <c r="D7" s="42"/>
    </row>
    <row r="8" spans="1:7" ht="15" customHeight="1" x14ac:dyDescent="0.2">
      <c r="A8" s="17" t="s">
        <v>62</v>
      </c>
      <c r="B8" s="47">
        <v>30</v>
      </c>
      <c r="D8" s="42"/>
    </row>
    <row r="9" spans="1:7" ht="15" customHeight="1" x14ac:dyDescent="0.2">
      <c r="A9" s="17" t="s">
        <v>61</v>
      </c>
      <c r="B9" s="47">
        <v>66</v>
      </c>
      <c r="D9" s="42"/>
    </row>
    <row r="10" spans="1:7" ht="15" customHeight="1" x14ac:dyDescent="0.2">
      <c r="A10" s="21" t="s">
        <v>32</v>
      </c>
      <c r="B10" s="45">
        <v>0.05</v>
      </c>
      <c r="D10" s="20"/>
    </row>
    <row r="11" spans="1:7" ht="15" customHeight="1" x14ac:dyDescent="0.2">
      <c r="A11" s="21" t="s">
        <v>33</v>
      </c>
      <c r="B11" s="46">
        <v>0.15</v>
      </c>
      <c r="D11" s="20"/>
    </row>
    <row r="12" spans="1:7" ht="15" customHeight="1" x14ac:dyDescent="0.2">
      <c r="A12" s="21"/>
      <c r="B12" s="18"/>
      <c r="D12" s="20"/>
    </row>
    <row r="13" spans="1:7" ht="15" customHeight="1" x14ac:dyDescent="0.2">
      <c r="A13" s="20"/>
      <c r="B13" s="20"/>
      <c r="C13" s="20"/>
      <c r="D13" s="20"/>
    </row>
    <row r="14" spans="1:7" ht="15" customHeight="1" thickBot="1" x14ac:dyDescent="0.25">
      <c r="A14" s="53" t="s">
        <v>0</v>
      </c>
      <c r="B14" s="53"/>
      <c r="C14" s="22" t="s">
        <v>2</v>
      </c>
      <c r="D14" s="23" t="s">
        <v>34</v>
      </c>
    </row>
    <row r="15" spans="1:7" ht="12.75" customHeight="1" x14ac:dyDescent="0.2">
      <c r="A15" s="54" t="s">
        <v>35</v>
      </c>
      <c r="B15" s="55"/>
      <c r="C15" s="24">
        <f>(B6*B8)+(B6*B9)</f>
        <v>1632</v>
      </c>
      <c r="D15" s="25" t="s">
        <v>36</v>
      </c>
      <c r="F15" s="20" t="s">
        <v>35</v>
      </c>
      <c r="G15" s="20">
        <v>1632</v>
      </c>
    </row>
    <row r="16" spans="1:7" x14ac:dyDescent="0.2">
      <c r="A16" s="56" t="s">
        <v>37</v>
      </c>
      <c r="B16" s="57"/>
      <c r="C16" s="26">
        <f>(C17+C18)*B3</f>
        <v>39.599999999999994</v>
      </c>
      <c r="D16" s="27" t="s">
        <v>38</v>
      </c>
      <c r="E16" s="28"/>
      <c r="F16" s="20" t="s">
        <v>37</v>
      </c>
      <c r="G16" s="20">
        <v>39.599999999999994</v>
      </c>
    </row>
    <row r="17" spans="1:9" x14ac:dyDescent="0.2">
      <c r="A17" s="51" t="s">
        <v>39</v>
      </c>
      <c r="B17" s="52"/>
      <c r="C17" s="29">
        <v>1.2</v>
      </c>
      <c r="D17" s="27"/>
      <c r="F17" s="20" t="s">
        <v>44</v>
      </c>
      <c r="G17" s="20">
        <v>1078</v>
      </c>
    </row>
    <row r="18" spans="1:9" x14ac:dyDescent="0.2">
      <c r="A18" s="51" t="s">
        <v>40</v>
      </c>
      <c r="B18" s="52"/>
      <c r="C18" s="29">
        <v>2.1</v>
      </c>
      <c r="D18" s="27"/>
    </row>
    <row r="19" spans="1:9" x14ac:dyDescent="0.2">
      <c r="A19" s="56" t="s">
        <v>41</v>
      </c>
      <c r="B19" s="57"/>
      <c r="C19" s="26">
        <f>C20+C21</f>
        <v>352.93333333333334</v>
      </c>
      <c r="D19" s="30"/>
      <c r="E19" s="31"/>
    </row>
    <row r="20" spans="1:9" x14ac:dyDescent="0.2">
      <c r="A20" s="51" t="s">
        <v>42</v>
      </c>
      <c r="B20" s="52"/>
      <c r="C20" s="29">
        <v>200</v>
      </c>
      <c r="D20" s="27" t="s">
        <v>65</v>
      </c>
    </row>
    <row r="21" spans="1:9" ht="15" x14ac:dyDescent="0.25">
      <c r="A21" s="58" t="s">
        <v>43</v>
      </c>
      <c r="B21" s="59"/>
      <c r="C21" s="32">
        <f>'[1]სახარჯი მსალა'!G16+'[1]სახარჯი მსალა'!F26</f>
        <v>152.93333333333334</v>
      </c>
      <c r="D21" s="6"/>
      <c r="E21" s="28"/>
    </row>
    <row r="22" spans="1:9" x14ac:dyDescent="0.2">
      <c r="A22" s="56" t="s">
        <v>44</v>
      </c>
      <c r="B22" s="57"/>
      <c r="C22" s="33">
        <f>SUM(C23:C27)*(B3+B7)*B5</f>
        <v>1078</v>
      </c>
      <c r="D22" s="27" t="s">
        <v>63</v>
      </c>
      <c r="E22" s="28"/>
      <c r="F22" s="28"/>
    </row>
    <row r="23" spans="1:9" ht="15" x14ac:dyDescent="0.25">
      <c r="A23" s="51" t="s">
        <v>45</v>
      </c>
      <c r="B23" s="52"/>
      <c r="C23" s="29">
        <v>1</v>
      </c>
      <c r="D23" s="27"/>
      <c r="H23" s="1">
        <v>252</v>
      </c>
      <c r="I23" s="20">
        <f>H23/12</f>
        <v>21</v>
      </c>
    </row>
    <row r="24" spans="1:9" x14ac:dyDescent="0.2">
      <c r="A24" s="60" t="s">
        <v>46</v>
      </c>
      <c r="B24" s="61"/>
      <c r="C24" s="29">
        <v>1</v>
      </c>
      <c r="D24" s="30"/>
    </row>
    <row r="25" spans="1:9" x14ac:dyDescent="0.2">
      <c r="A25" s="51" t="s">
        <v>47</v>
      </c>
      <c r="B25" s="52"/>
      <c r="C25" s="29">
        <v>2</v>
      </c>
      <c r="D25" s="27"/>
    </row>
    <row r="26" spans="1:9" x14ac:dyDescent="0.2">
      <c r="A26" s="51" t="s">
        <v>48</v>
      </c>
      <c r="B26" s="52"/>
      <c r="C26" s="29">
        <v>2</v>
      </c>
      <c r="D26" s="27"/>
    </row>
    <row r="27" spans="1:9" x14ac:dyDescent="0.2">
      <c r="A27" s="51" t="s">
        <v>49</v>
      </c>
      <c r="B27" s="52"/>
      <c r="C27" s="29">
        <v>1</v>
      </c>
      <c r="D27" s="27"/>
    </row>
    <row r="28" spans="1:9" x14ac:dyDescent="0.2">
      <c r="A28" s="56" t="s">
        <v>50</v>
      </c>
      <c r="B28" s="57"/>
      <c r="C28" s="33">
        <f>3.7*B4</f>
        <v>244.20000000000002</v>
      </c>
      <c r="D28" s="27" t="s">
        <v>51</v>
      </c>
      <c r="E28" s="28"/>
      <c r="F28" s="28"/>
    </row>
    <row r="29" spans="1:9" ht="38.25" x14ac:dyDescent="0.2">
      <c r="A29" s="56" t="s">
        <v>52</v>
      </c>
      <c r="B29" s="57"/>
      <c r="C29" s="33">
        <f>20*6</f>
        <v>120</v>
      </c>
      <c r="D29" s="27" t="s">
        <v>53</v>
      </c>
    </row>
    <row r="30" spans="1:9" x14ac:dyDescent="0.2">
      <c r="A30" s="56" t="s">
        <v>54</v>
      </c>
      <c r="B30" s="57"/>
      <c r="C30" s="34">
        <f>SUM(C29,C28,C22,C19,C16,C15)*B10</f>
        <v>173.3366666666667</v>
      </c>
      <c r="D30" s="35"/>
    </row>
    <row r="31" spans="1:9" x14ac:dyDescent="0.2">
      <c r="A31" s="56" t="s">
        <v>55</v>
      </c>
      <c r="B31" s="57"/>
      <c r="C31" s="34">
        <f>SUM(C30,C29,C28,C22,C19,C16,C15)*2%</f>
        <v>72.801400000000001</v>
      </c>
      <c r="D31" s="35"/>
    </row>
    <row r="32" spans="1:9" ht="13.5" thickBot="1" x14ac:dyDescent="0.25">
      <c r="A32" s="62" t="s">
        <v>3</v>
      </c>
      <c r="B32" s="63"/>
      <c r="C32" s="36">
        <f>SUM(C30,C29,C28,C22,C19,C16,C15,C31)</f>
        <v>3712.8714</v>
      </c>
      <c r="D32" s="37"/>
    </row>
    <row r="33" spans="1:5" x14ac:dyDescent="0.2">
      <c r="A33" s="54" t="s">
        <v>33</v>
      </c>
      <c r="B33" s="55"/>
      <c r="C33" s="50">
        <f>C32*B11</f>
        <v>556.93070999999998</v>
      </c>
      <c r="D33" s="39"/>
    </row>
    <row r="34" spans="1:5" ht="13.5" thickBot="1" x14ac:dyDescent="0.25">
      <c r="A34" s="62" t="s">
        <v>56</v>
      </c>
      <c r="B34" s="63"/>
      <c r="C34" s="36">
        <f>C32+C33</f>
        <v>4269.8021099999996</v>
      </c>
      <c r="D34" s="37"/>
    </row>
    <row r="35" spans="1:5" x14ac:dyDescent="0.2">
      <c r="A35" s="64" t="s">
        <v>57</v>
      </c>
      <c r="B35" s="65"/>
      <c r="C35" s="40">
        <f>C34/B3</f>
        <v>355.81684249999995</v>
      </c>
      <c r="D35" s="25">
        <v>355</v>
      </c>
    </row>
    <row r="36" spans="1:5" x14ac:dyDescent="0.2">
      <c r="A36" s="41"/>
      <c r="B36" s="41"/>
      <c r="C36" s="41"/>
      <c r="D36" s="41"/>
      <c r="E36" s="41"/>
    </row>
    <row r="37" spans="1:5" x14ac:dyDescent="0.2">
      <c r="C37" s="44"/>
      <c r="D37" s="44">
        <f>C37*13</f>
        <v>0</v>
      </c>
    </row>
  </sheetData>
  <mergeCells count="22"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31:B31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hyperlinks>
    <hyperlink ref="A21" location="'სახარჯი მსალა'!A1" display="სახარჯი მასალის ხარჯი"/>
  </hyperlinks>
  <pageMargins left="0.7" right="0.7" top="0.75" bottom="0.75" header="0.3" footer="0.3"/>
  <pageSetup paperSize="9" scale="8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13" workbookViewId="0">
      <selection activeCell="D36" sqref="D36"/>
    </sheetView>
  </sheetViews>
  <sheetFormatPr defaultRowHeight="12.75" x14ac:dyDescent="0.2"/>
  <cols>
    <col min="1" max="1" width="44" style="42" customWidth="1"/>
    <col min="2" max="2" width="8" style="43" customWidth="1"/>
    <col min="3" max="3" width="10.7109375" style="19" bestFit="1" customWidth="1"/>
    <col min="4" max="4" width="49.7109375" style="19" customWidth="1"/>
    <col min="5" max="5" width="10.5703125" style="20" bestFit="1" customWidth="1"/>
    <col min="6" max="16384" width="9.140625" style="20"/>
  </cols>
  <sheetData>
    <row r="1" spans="1:6" x14ac:dyDescent="0.2">
      <c r="D1" s="19" t="s">
        <v>66</v>
      </c>
    </row>
    <row r="3" spans="1:6" ht="15" customHeight="1" x14ac:dyDescent="0.2">
      <c r="A3" s="17" t="s">
        <v>28</v>
      </c>
      <c r="B3" s="47">
        <v>12</v>
      </c>
      <c r="D3" s="20"/>
    </row>
    <row r="4" spans="1:6" ht="15" customHeight="1" x14ac:dyDescent="0.2">
      <c r="A4" s="21" t="s">
        <v>29</v>
      </c>
      <c r="B4" s="47">
        <v>18</v>
      </c>
      <c r="D4" s="20"/>
    </row>
    <row r="5" spans="1:6" ht="15" customHeight="1" x14ac:dyDescent="0.2">
      <c r="A5" s="21" t="s">
        <v>60</v>
      </c>
      <c r="B5" s="47">
        <v>3</v>
      </c>
      <c r="D5" s="20"/>
    </row>
    <row r="6" spans="1:6" ht="15" customHeight="1" x14ac:dyDescent="0.2">
      <c r="A6" s="21" t="s">
        <v>31</v>
      </c>
      <c r="B6" s="47">
        <v>17</v>
      </c>
      <c r="D6" s="20"/>
      <c r="E6" s="28"/>
      <c r="F6" s="28"/>
    </row>
    <row r="7" spans="1:6" ht="15" customHeight="1" x14ac:dyDescent="0.2">
      <c r="A7" s="17" t="s">
        <v>30</v>
      </c>
      <c r="B7" s="47">
        <v>2</v>
      </c>
      <c r="D7" s="42"/>
    </row>
    <row r="8" spans="1:6" ht="15" customHeight="1" x14ac:dyDescent="0.2">
      <c r="A8" s="17" t="s">
        <v>62</v>
      </c>
      <c r="B8" s="47">
        <v>18</v>
      </c>
      <c r="D8" s="42"/>
    </row>
    <row r="9" spans="1:6" ht="15" customHeight="1" x14ac:dyDescent="0.2">
      <c r="A9" s="17" t="s">
        <v>61</v>
      </c>
      <c r="B9" s="47">
        <v>18</v>
      </c>
      <c r="D9" s="42"/>
    </row>
    <row r="10" spans="1:6" ht="15" customHeight="1" x14ac:dyDescent="0.2">
      <c r="A10" s="21" t="s">
        <v>32</v>
      </c>
      <c r="B10" s="45">
        <v>0.05</v>
      </c>
      <c r="D10" s="20"/>
    </row>
    <row r="11" spans="1:6" ht="15" customHeight="1" x14ac:dyDescent="0.2">
      <c r="A11" s="21" t="s">
        <v>33</v>
      </c>
      <c r="B11" s="46">
        <v>0.2</v>
      </c>
      <c r="D11" s="20"/>
    </row>
    <row r="12" spans="1:6" ht="15" customHeight="1" x14ac:dyDescent="0.2">
      <c r="A12" s="21"/>
      <c r="B12" s="18"/>
      <c r="D12" s="20"/>
    </row>
    <row r="13" spans="1:6" ht="15" customHeight="1" x14ac:dyDescent="0.2">
      <c r="A13" s="20"/>
      <c r="B13" s="20"/>
      <c r="C13" s="20"/>
      <c r="D13" s="20"/>
    </row>
    <row r="14" spans="1:6" ht="15" customHeight="1" thickBot="1" x14ac:dyDescent="0.25">
      <c r="A14" s="53" t="s">
        <v>0</v>
      </c>
      <c r="B14" s="53"/>
      <c r="C14" s="22" t="s">
        <v>2</v>
      </c>
      <c r="D14" s="48" t="s">
        <v>34</v>
      </c>
    </row>
    <row r="15" spans="1:6" x14ac:dyDescent="0.2">
      <c r="A15" s="54" t="s">
        <v>35</v>
      </c>
      <c r="B15" s="55"/>
      <c r="C15" s="24">
        <f>(B6*B8)+(B6*B9)</f>
        <v>612</v>
      </c>
      <c r="D15" s="25" t="s">
        <v>36</v>
      </c>
    </row>
    <row r="16" spans="1:6" x14ac:dyDescent="0.2">
      <c r="A16" s="56" t="s">
        <v>37</v>
      </c>
      <c r="B16" s="57"/>
      <c r="C16" s="26">
        <f>(C17+C18)*B3</f>
        <v>39.599999999999994</v>
      </c>
      <c r="D16" s="27" t="s">
        <v>38</v>
      </c>
      <c r="E16" s="28"/>
    </row>
    <row r="17" spans="1:6" x14ac:dyDescent="0.2">
      <c r="A17" s="51" t="s">
        <v>39</v>
      </c>
      <c r="B17" s="52"/>
      <c r="C17" s="29">
        <v>1.2</v>
      </c>
      <c r="D17" s="27"/>
    </row>
    <row r="18" spans="1:6" x14ac:dyDescent="0.2">
      <c r="A18" s="51" t="s">
        <v>40</v>
      </c>
      <c r="B18" s="52"/>
      <c r="C18" s="29">
        <v>2.1</v>
      </c>
      <c r="D18" s="27"/>
    </row>
    <row r="19" spans="1:6" x14ac:dyDescent="0.2">
      <c r="A19" s="56" t="s">
        <v>41</v>
      </c>
      <c r="B19" s="57"/>
      <c r="C19" s="26">
        <f>C20+C21</f>
        <v>352.93333333333334</v>
      </c>
      <c r="D19" s="30"/>
      <c r="E19" s="31"/>
    </row>
    <row r="20" spans="1:6" x14ac:dyDescent="0.2">
      <c r="A20" s="51" t="s">
        <v>42</v>
      </c>
      <c r="B20" s="52"/>
      <c r="C20" s="29">
        <v>200</v>
      </c>
      <c r="D20" s="27" t="s">
        <v>64</v>
      </c>
    </row>
    <row r="21" spans="1:6" ht="15" x14ac:dyDescent="0.25">
      <c r="A21" s="58" t="s">
        <v>43</v>
      </c>
      <c r="B21" s="59"/>
      <c r="C21" s="32">
        <f>'[1]სახარჯი მსალა'!G16+'[1]სახარჯი მსალა'!F26</f>
        <v>152.93333333333334</v>
      </c>
      <c r="D21" s="6"/>
      <c r="E21" s="28"/>
    </row>
    <row r="22" spans="1:6" x14ac:dyDescent="0.2">
      <c r="A22" s="56" t="s">
        <v>44</v>
      </c>
      <c r="B22" s="57"/>
      <c r="C22" s="33">
        <f>SUM(C23:C27)*(B3+B7)*B5</f>
        <v>294</v>
      </c>
      <c r="D22" s="27" t="s">
        <v>63</v>
      </c>
      <c r="E22" s="28"/>
      <c r="F22" s="28"/>
    </row>
    <row r="23" spans="1:6" x14ac:dyDescent="0.2">
      <c r="A23" s="51" t="s">
        <v>45</v>
      </c>
      <c r="B23" s="52"/>
      <c r="C23" s="29">
        <v>1</v>
      </c>
      <c r="D23" s="27"/>
    </row>
    <row r="24" spans="1:6" x14ac:dyDescent="0.2">
      <c r="A24" s="60" t="s">
        <v>46</v>
      </c>
      <c r="B24" s="61"/>
      <c r="C24" s="29">
        <v>1</v>
      </c>
      <c r="D24" s="30"/>
    </row>
    <row r="25" spans="1:6" x14ac:dyDescent="0.2">
      <c r="A25" s="51" t="s">
        <v>47</v>
      </c>
      <c r="B25" s="52"/>
      <c r="C25" s="29">
        <v>2</v>
      </c>
      <c r="D25" s="27"/>
    </row>
    <row r="26" spans="1:6" x14ac:dyDescent="0.2">
      <c r="A26" s="51" t="s">
        <v>48</v>
      </c>
      <c r="B26" s="52"/>
      <c r="C26" s="29">
        <v>2</v>
      </c>
      <c r="D26" s="27"/>
    </row>
    <row r="27" spans="1:6" x14ac:dyDescent="0.2">
      <c r="A27" s="51" t="s">
        <v>49</v>
      </c>
      <c r="B27" s="52"/>
      <c r="C27" s="29">
        <v>1</v>
      </c>
      <c r="D27" s="27"/>
    </row>
    <row r="28" spans="1:6" x14ac:dyDescent="0.2">
      <c r="A28" s="56" t="s">
        <v>50</v>
      </c>
      <c r="B28" s="57"/>
      <c r="C28" s="33">
        <f>3.7*B4</f>
        <v>66.600000000000009</v>
      </c>
      <c r="D28" s="27" t="s">
        <v>51</v>
      </c>
      <c r="E28" s="28"/>
      <c r="F28" s="28"/>
    </row>
    <row r="29" spans="1:6" ht="38.25" x14ac:dyDescent="0.2">
      <c r="A29" s="56" t="s">
        <v>52</v>
      </c>
      <c r="B29" s="57"/>
      <c r="C29" s="33">
        <f>20*6</f>
        <v>120</v>
      </c>
      <c r="D29" s="27" t="s">
        <v>53</v>
      </c>
    </row>
    <row r="30" spans="1:6" x14ac:dyDescent="0.2">
      <c r="A30" s="56" t="s">
        <v>54</v>
      </c>
      <c r="B30" s="57"/>
      <c r="C30" s="34">
        <f>SUM(C29,C28,C22,C19,C16,C15)*B10</f>
        <v>74.256666666666661</v>
      </c>
      <c r="D30" s="35"/>
    </row>
    <row r="31" spans="1:6" x14ac:dyDescent="0.2">
      <c r="A31" s="56" t="s">
        <v>55</v>
      </c>
      <c r="B31" s="57"/>
      <c r="C31" s="34">
        <f>SUM(C30,C29,C28,C22,C19,C16,C15)*2%</f>
        <v>31.187799999999999</v>
      </c>
      <c r="D31" s="35"/>
    </row>
    <row r="32" spans="1:6" ht="13.5" thickBot="1" x14ac:dyDescent="0.25">
      <c r="A32" s="62" t="s">
        <v>3</v>
      </c>
      <c r="B32" s="63"/>
      <c r="C32" s="36">
        <f>SUM(C30,C29,C28,C22,C19,C16,C15,C31)</f>
        <v>1590.5777999999998</v>
      </c>
      <c r="D32" s="37"/>
    </row>
    <row r="33" spans="1:5" x14ac:dyDescent="0.2">
      <c r="A33" s="54" t="s">
        <v>33</v>
      </c>
      <c r="B33" s="55"/>
      <c r="C33" s="50">
        <f>C32*B11</f>
        <v>318.11555999999996</v>
      </c>
      <c r="D33" s="39"/>
    </row>
    <row r="34" spans="1:5" ht="13.5" thickBot="1" x14ac:dyDescent="0.25">
      <c r="A34" s="62" t="s">
        <v>56</v>
      </c>
      <c r="B34" s="63"/>
      <c r="C34" s="36">
        <f>C32+C33</f>
        <v>1908.6933599999998</v>
      </c>
      <c r="D34" s="37"/>
    </row>
    <row r="35" spans="1:5" x14ac:dyDescent="0.2">
      <c r="A35" s="64" t="s">
        <v>57</v>
      </c>
      <c r="B35" s="65"/>
      <c r="C35" s="40">
        <f>C34/B3</f>
        <v>159.05777999999998</v>
      </c>
      <c r="D35" s="25">
        <v>160</v>
      </c>
    </row>
    <row r="36" spans="1:5" x14ac:dyDescent="0.2">
      <c r="A36" s="41"/>
      <c r="B36" s="41"/>
      <c r="C36" s="41"/>
      <c r="D36" s="41"/>
      <c r="E36" s="41"/>
    </row>
    <row r="37" spans="1:5" x14ac:dyDescent="0.2">
      <c r="C37" s="44"/>
      <c r="D37" s="44">
        <f>C37*13</f>
        <v>0</v>
      </c>
    </row>
  </sheetData>
  <mergeCells count="22">
    <mergeCell ref="A14:B14"/>
    <mergeCell ref="A15:B15"/>
    <mergeCell ref="A16:B16"/>
    <mergeCell ref="A17:B17"/>
    <mergeCell ref="A18:B18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32:B32"/>
    <mergeCell ref="A33:B33"/>
    <mergeCell ref="A34:B34"/>
    <mergeCell ref="A35:B35"/>
  </mergeCells>
  <hyperlinks>
    <hyperlink ref="A21" location="'სახარჯი მსალა'!A1" display="სახარჯი მასალის ხარჯი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16" workbookViewId="0">
      <selection activeCell="B12" sqref="B12"/>
    </sheetView>
  </sheetViews>
  <sheetFormatPr defaultRowHeight="12.75" x14ac:dyDescent="0.2"/>
  <cols>
    <col min="1" max="1" width="44" style="42" customWidth="1"/>
    <col min="2" max="2" width="8" style="43" customWidth="1"/>
    <col min="3" max="3" width="10.7109375" style="19" bestFit="1" customWidth="1"/>
    <col min="4" max="4" width="49.7109375" style="19" customWidth="1"/>
    <col min="5" max="5" width="10.5703125" style="20" bestFit="1" customWidth="1"/>
    <col min="6" max="16384" width="9.140625" style="20"/>
  </cols>
  <sheetData>
    <row r="1" spans="1:6" x14ac:dyDescent="0.2">
      <c r="D1" s="19" t="s">
        <v>66</v>
      </c>
    </row>
    <row r="3" spans="1:6" ht="15" customHeight="1" x14ac:dyDescent="0.2">
      <c r="A3" s="17" t="s">
        <v>28</v>
      </c>
      <c r="B3" s="47">
        <v>10</v>
      </c>
      <c r="D3" s="20"/>
    </row>
    <row r="4" spans="1:6" ht="15" customHeight="1" x14ac:dyDescent="0.2">
      <c r="A4" s="21" t="s">
        <v>29</v>
      </c>
      <c r="B4" s="47">
        <v>12</v>
      </c>
      <c r="D4" s="20"/>
    </row>
    <row r="5" spans="1:6" ht="15" customHeight="1" x14ac:dyDescent="0.2">
      <c r="A5" s="21" t="s">
        <v>60</v>
      </c>
      <c r="B5" s="47">
        <v>2</v>
      </c>
      <c r="D5" s="20"/>
    </row>
    <row r="6" spans="1:6" ht="15" customHeight="1" x14ac:dyDescent="0.2">
      <c r="A6" s="21" t="s">
        <v>31</v>
      </c>
      <c r="B6" s="47">
        <v>17</v>
      </c>
      <c r="D6" s="20"/>
      <c r="E6" s="28"/>
      <c r="F6" s="28"/>
    </row>
    <row r="7" spans="1:6" ht="15" customHeight="1" x14ac:dyDescent="0.2">
      <c r="A7" s="17" t="s">
        <v>30</v>
      </c>
      <c r="B7" s="47">
        <v>2</v>
      </c>
      <c r="D7" s="42"/>
    </row>
    <row r="8" spans="1:6" ht="15" customHeight="1" x14ac:dyDescent="0.2">
      <c r="A8" s="17" t="s">
        <v>62</v>
      </c>
      <c r="B8" s="47">
        <v>12</v>
      </c>
      <c r="D8" s="42"/>
    </row>
    <row r="9" spans="1:6" ht="15" customHeight="1" x14ac:dyDescent="0.2">
      <c r="A9" s="17" t="s">
        <v>61</v>
      </c>
      <c r="B9" s="47">
        <v>12</v>
      </c>
      <c r="D9" s="42"/>
    </row>
    <row r="10" spans="1:6" ht="15" customHeight="1" x14ac:dyDescent="0.2">
      <c r="A10" s="21" t="s">
        <v>32</v>
      </c>
      <c r="B10" s="45">
        <v>0.05</v>
      </c>
      <c r="D10" s="20"/>
    </row>
    <row r="11" spans="1:6" ht="15" customHeight="1" x14ac:dyDescent="0.2">
      <c r="A11" s="21" t="s">
        <v>33</v>
      </c>
      <c r="B11" s="46">
        <v>0.15</v>
      </c>
      <c r="D11" s="20"/>
    </row>
    <row r="12" spans="1:6" ht="15" customHeight="1" x14ac:dyDescent="0.2">
      <c r="A12" s="21"/>
      <c r="B12" s="18"/>
      <c r="D12" s="20"/>
    </row>
    <row r="13" spans="1:6" ht="15" customHeight="1" x14ac:dyDescent="0.2">
      <c r="A13" s="20"/>
      <c r="B13" s="20"/>
      <c r="C13" s="20"/>
      <c r="D13" s="20"/>
    </row>
    <row r="14" spans="1:6" ht="15" customHeight="1" thickBot="1" x14ac:dyDescent="0.25">
      <c r="A14" s="53" t="s">
        <v>0</v>
      </c>
      <c r="B14" s="53"/>
      <c r="C14" s="22" t="s">
        <v>2</v>
      </c>
      <c r="D14" s="48" t="s">
        <v>34</v>
      </c>
    </row>
    <row r="15" spans="1:6" x14ac:dyDescent="0.2">
      <c r="A15" s="54" t="s">
        <v>35</v>
      </c>
      <c r="B15" s="55"/>
      <c r="C15" s="24">
        <f>(B6*B8)+(B6*B9)</f>
        <v>408</v>
      </c>
      <c r="D15" s="25" t="s">
        <v>36</v>
      </c>
    </row>
    <row r="16" spans="1:6" x14ac:dyDescent="0.2">
      <c r="A16" s="56" t="s">
        <v>37</v>
      </c>
      <c r="B16" s="57"/>
      <c r="C16" s="26">
        <f>(C17+C18)*B3</f>
        <v>33</v>
      </c>
      <c r="D16" s="27" t="s">
        <v>38</v>
      </c>
      <c r="E16" s="28"/>
    </row>
    <row r="17" spans="1:6" x14ac:dyDescent="0.2">
      <c r="A17" s="51" t="s">
        <v>39</v>
      </c>
      <c r="B17" s="52"/>
      <c r="C17" s="29">
        <v>1.2</v>
      </c>
      <c r="D17" s="27"/>
    </row>
    <row r="18" spans="1:6" x14ac:dyDescent="0.2">
      <c r="A18" s="51" t="s">
        <v>40</v>
      </c>
      <c r="B18" s="52"/>
      <c r="C18" s="29">
        <v>2.1</v>
      </c>
      <c r="D18" s="27"/>
    </row>
    <row r="19" spans="1:6" x14ac:dyDescent="0.2">
      <c r="A19" s="56" t="s">
        <v>41</v>
      </c>
      <c r="B19" s="57"/>
      <c r="C19" s="26">
        <f>C20+C21</f>
        <v>352.93333333333334</v>
      </c>
      <c r="D19" s="30"/>
      <c r="E19" s="31"/>
    </row>
    <row r="20" spans="1:6" x14ac:dyDescent="0.2">
      <c r="A20" s="51" t="s">
        <v>42</v>
      </c>
      <c r="B20" s="52"/>
      <c r="C20" s="29">
        <v>200</v>
      </c>
      <c r="D20" s="27" t="s">
        <v>64</v>
      </c>
    </row>
    <row r="21" spans="1:6" ht="15" x14ac:dyDescent="0.25">
      <c r="A21" s="58" t="s">
        <v>43</v>
      </c>
      <c r="B21" s="59"/>
      <c r="C21" s="32">
        <f>'[1]სახარჯი მსალა'!G16+'[1]სახარჯი მსალა'!F26</f>
        <v>152.93333333333334</v>
      </c>
      <c r="D21" s="6"/>
      <c r="E21" s="28"/>
    </row>
    <row r="22" spans="1:6" x14ac:dyDescent="0.2">
      <c r="A22" s="56" t="s">
        <v>44</v>
      </c>
      <c r="B22" s="57"/>
      <c r="C22" s="33">
        <f>SUM(C23:C27)*(B3+B7)*B5</f>
        <v>168</v>
      </c>
      <c r="D22" s="27" t="s">
        <v>63</v>
      </c>
      <c r="E22" s="28"/>
      <c r="F22" s="28"/>
    </row>
    <row r="23" spans="1:6" x14ac:dyDescent="0.2">
      <c r="A23" s="51" t="s">
        <v>45</v>
      </c>
      <c r="B23" s="52"/>
      <c r="C23" s="29">
        <v>1</v>
      </c>
      <c r="D23" s="27"/>
    </row>
    <row r="24" spans="1:6" x14ac:dyDescent="0.2">
      <c r="A24" s="60" t="s">
        <v>46</v>
      </c>
      <c r="B24" s="61"/>
      <c r="C24" s="29">
        <v>1</v>
      </c>
      <c r="D24" s="30"/>
    </row>
    <row r="25" spans="1:6" x14ac:dyDescent="0.2">
      <c r="A25" s="51" t="s">
        <v>47</v>
      </c>
      <c r="B25" s="52"/>
      <c r="C25" s="29">
        <v>2</v>
      </c>
      <c r="D25" s="27"/>
    </row>
    <row r="26" spans="1:6" x14ac:dyDescent="0.2">
      <c r="A26" s="51" t="s">
        <v>48</v>
      </c>
      <c r="B26" s="52"/>
      <c r="C26" s="29">
        <v>2</v>
      </c>
      <c r="D26" s="27"/>
    </row>
    <row r="27" spans="1:6" x14ac:dyDescent="0.2">
      <c r="A27" s="51" t="s">
        <v>49</v>
      </c>
      <c r="B27" s="52"/>
      <c r="C27" s="29">
        <v>1</v>
      </c>
      <c r="D27" s="27"/>
    </row>
    <row r="28" spans="1:6" x14ac:dyDescent="0.2">
      <c r="A28" s="56" t="s">
        <v>50</v>
      </c>
      <c r="B28" s="57"/>
      <c r="C28" s="33">
        <f>3.7*B4</f>
        <v>44.400000000000006</v>
      </c>
      <c r="D28" s="27" t="s">
        <v>51</v>
      </c>
      <c r="E28" s="28"/>
      <c r="F28" s="28"/>
    </row>
    <row r="29" spans="1:6" ht="38.25" x14ac:dyDescent="0.2">
      <c r="A29" s="56" t="s">
        <v>52</v>
      </c>
      <c r="B29" s="57"/>
      <c r="C29" s="33">
        <f>20*6</f>
        <v>120</v>
      </c>
      <c r="D29" s="27" t="s">
        <v>53</v>
      </c>
    </row>
    <row r="30" spans="1:6" x14ac:dyDescent="0.2">
      <c r="A30" s="56" t="s">
        <v>54</v>
      </c>
      <c r="B30" s="57"/>
      <c r="C30" s="34">
        <f>SUM(C29,C28,C22,C19,C16,C15)*B10</f>
        <v>56.316666666666663</v>
      </c>
      <c r="D30" s="35"/>
    </row>
    <row r="31" spans="1:6" x14ac:dyDescent="0.2">
      <c r="A31" s="56" t="s">
        <v>55</v>
      </c>
      <c r="B31" s="57"/>
      <c r="C31" s="34">
        <f>SUM(C30,C29,C28,C22,C19,C16,C15)*2%</f>
        <v>23.653000000000002</v>
      </c>
      <c r="D31" s="35"/>
    </row>
    <row r="32" spans="1:6" ht="13.5" thickBot="1" x14ac:dyDescent="0.25">
      <c r="A32" s="62" t="s">
        <v>3</v>
      </c>
      <c r="B32" s="63"/>
      <c r="C32" s="36">
        <f>SUM(C30,C29,C28,C22,C19,C16,C15,C31)</f>
        <v>1206.3030000000001</v>
      </c>
      <c r="D32" s="37"/>
    </row>
    <row r="33" spans="1:5" x14ac:dyDescent="0.2">
      <c r="A33" s="54" t="s">
        <v>33</v>
      </c>
      <c r="B33" s="55"/>
      <c r="C33" s="50">
        <f>C32*B11</f>
        <v>180.94545000000002</v>
      </c>
      <c r="D33" s="39"/>
    </row>
    <row r="34" spans="1:5" ht="13.5" thickBot="1" x14ac:dyDescent="0.25">
      <c r="A34" s="62" t="s">
        <v>56</v>
      </c>
      <c r="B34" s="63"/>
      <c r="C34" s="36">
        <f>C32+C33</f>
        <v>1387.24845</v>
      </c>
      <c r="D34" s="37"/>
    </row>
    <row r="35" spans="1:5" x14ac:dyDescent="0.2">
      <c r="A35" s="64" t="s">
        <v>57</v>
      </c>
      <c r="B35" s="65"/>
      <c r="C35" s="40">
        <f>C34/B3</f>
        <v>138.72484500000002</v>
      </c>
      <c r="D35" s="25">
        <v>140</v>
      </c>
    </row>
    <row r="36" spans="1:5" x14ac:dyDescent="0.2">
      <c r="A36" s="41"/>
      <c r="B36" s="41"/>
      <c r="C36" s="41"/>
      <c r="D36" s="41"/>
      <c r="E36" s="41"/>
    </row>
    <row r="37" spans="1:5" x14ac:dyDescent="0.2">
      <c r="C37" s="44"/>
      <c r="D37" s="44">
        <f>C37*13</f>
        <v>0</v>
      </c>
    </row>
  </sheetData>
  <mergeCells count="22"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31:B31"/>
  </mergeCells>
  <hyperlinks>
    <hyperlink ref="A21" location="'სახარჯი მსალა'!A1" display="სახარჯი მასალის ხარჯი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19" workbookViewId="0">
      <selection activeCell="B3" sqref="B3"/>
    </sheetView>
  </sheetViews>
  <sheetFormatPr defaultRowHeight="12.75" x14ac:dyDescent="0.2"/>
  <cols>
    <col min="1" max="1" width="44" style="42" customWidth="1"/>
    <col min="2" max="2" width="8" style="43" customWidth="1"/>
    <col min="3" max="3" width="10.7109375" style="19" bestFit="1" customWidth="1"/>
    <col min="4" max="4" width="49.7109375" style="19" customWidth="1"/>
    <col min="5" max="5" width="10.5703125" style="20" bestFit="1" customWidth="1"/>
    <col min="6" max="16384" width="9.140625" style="20"/>
  </cols>
  <sheetData>
    <row r="1" spans="1:6" x14ac:dyDescent="0.2">
      <c r="D1" s="19" t="s">
        <v>66</v>
      </c>
    </row>
    <row r="3" spans="1:6" ht="15" customHeight="1" x14ac:dyDescent="0.2">
      <c r="A3" s="17" t="s">
        <v>28</v>
      </c>
      <c r="B3" s="47">
        <v>12</v>
      </c>
      <c r="D3" s="20"/>
    </row>
    <row r="4" spans="1:6" ht="15" customHeight="1" x14ac:dyDescent="0.2">
      <c r="A4" s="21" t="s">
        <v>29</v>
      </c>
      <c r="B4" s="47">
        <v>24</v>
      </c>
      <c r="D4" s="20"/>
    </row>
    <row r="5" spans="1:6" ht="15" customHeight="1" x14ac:dyDescent="0.2">
      <c r="A5" s="21" t="s">
        <v>60</v>
      </c>
      <c r="B5" s="47">
        <v>4</v>
      </c>
      <c r="D5" s="20"/>
    </row>
    <row r="6" spans="1:6" ht="15" customHeight="1" x14ac:dyDescent="0.2">
      <c r="A6" s="21" t="s">
        <v>31</v>
      </c>
      <c r="B6" s="47">
        <v>17</v>
      </c>
      <c r="D6" s="20"/>
      <c r="E6" s="28"/>
      <c r="F6" s="28"/>
    </row>
    <row r="7" spans="1:6" ht="15" customHeight="1" x14ac:dyDescent="0.2">
      <c r="A7" s="17" t="s">
        <v>30</v>
      </c>
      <c r="B7" s="47">
        <v>2</v>
      </c>
      <c r="D7" s="42"/>
    </row>
    <row r="8" spans="1:6" ht="15" customHeight="1" x14ac:dyDescent="0.2">
      <c r="A8" s="17" t="s">
        <v>62</v>
      </c>
      <c r="B8" s="47">
        <v>24</v>
      </c>
      <c r="D8" s="42"/>
    </row>
    <row r="9" spans="1:6" ht="15" customHeight="1" x14ac:dyDescent="0.2">
      <c r="A9" s="17" t="s">
        <v>61</v>
      </c>
      <c r="B9" s="47">
        <v>18</v>
      </c>
      <c r="D9" s="42"/>
    </row>
    <row r="10" spans="1:6" ht="15" customHeight="1" x14ac:dyDescent="0.2">
      <c r="A10" s="21" t="s">
        <v>32</v>
      </c>
      <c r="B10" s="45">
        <v>0.05</v>
      </c>
      <c r="D10" s="20"/>
    </row>
    <row r="11" spans="1:6" ht="15" customHeight="1" x14ac:dyDescent="0.2">
      <c r="A11" s="21" t="s">
        <v>33</v>
      </c>
      <c r="B11" s="46">
        <v>0.2</v>
      </c>
      <c r="D11" s="20"/>
    </row>
    <row r="12" spans="1:6" ht="15" customHeight="1" x14ac:dyDescent="0.2">
      <c r="A12" s="21"/>
      <c r="B12" s="18"/>
      <c r="D12" s="20"/>
    </row>
    <row r="13" spans="1:6" ht="15" customHeight="1" x14ac:dyDescent="0.2">
      <c r="A13" s="20"/>
      <c r="B13" s="20"/>
      <c r="C13" s="20"/>
      <c r="D13" s="20"/>
    </row>
    <row r="14" spans="1:6" ht="15" customHeight="1" thickBot="1" x14ac:dyDescent="0.25">
      <c r="A14" s="53" t="s">
        <v>0</v>
      </c>
      <c r="B14" s="53"/>
      <c r="C14" s="22" t="s">
        <v>2</v>
      </c>
      <c r="D14" s="48" t="s">
        <v>34</v>
      </c>
    </row>
    <row r="15" spans="1:6" x14ac:dyDescent="0.2">
      <c r="A15" s="54" t="s">
        <v>35</v>
      </c>
      <c r="B15" s="55"/>
      <c r="C15" s="24">
        <f>(B6*B8)+(B6*B9)</f>
        <v>714</v>
      </c>
      <c r="D15" s="25" t="s">
        <v>36</v>
      </c>
    </row>
    <row r="16" spans="1:6" x14ac:dyDescent="0.2">
      <c r="A16" s="56" t="s">
        <v>37</v>
      </c>
      <c r="B16" s="57"/>
      <c r="C16" s="26">
        <f>(C17+C18)*B3</f>
        <v>39.599999999999994</v>
      </c>
      <c r="D16" s="27" t="s">
        <v>38</v>
      </c>
      <c r="E16" s="28"/>
    </row>
    <row r="17" spans="1:6" x14ac:dyDescent="0.2">
      <c r="A17" s="51" t="s">
        <v>39</v>
      </c>
      <c r="B17" s="52"/>
      <c r="C17" s="29">
        <v>1.2</v>
      </c>
      <c r="D17" s="27"/>
    </row>
    <row r="18" spans="1:6" x14ac:dyDescent="0.2">
      <c r="A18" s="51" t="s">
        <v>40</v>
      </c>
      <c r="B18" s="52"/>
      <c r="C18" s="29">
        <v>2.1</v>
      </c>
      <c r="D18" s="27"/>
    </row>
    <row r="19" spans="1:6" x14ac:dyDescent="0.2">
      <c r="A19" s="56" t="s">
        <v>41</v>
      </c>
      <c r="B19" s="57"/>
      <c r="C19" s="26">
        <f>C20+C21</f>
        <v>352.93333333333334</v>
      </c>
      <c r="D19" s="30"/>
      <c r="E19" s="31"/>
    </row>
    <row r="20" spans="1:6" x14ac:dyDescent="0.2">
      <c r="A20" s="51" t="s">
        <v>42</v>
      </c>
      <c r="B20" s="52"/>
      <c r="C20" s="29">
        <v>200</v>
      </c>
      <c r="D20" s="27" t="s">
        <v>65</v>
      </c>
    </row>
    <row r="21" spans="1:6" ht="15" x14ac:dyDescent="0.25">
      <c r="A21" s="58" t="s">
        <v>43</v>
      </c>
      <c r="B21" s="59"/>
      <c r="C21" s="32">
        <f>'[1]სახარჯი მსალა'!G16+'[1]სახარჯი მსალა'!F26</f>
        <v>152.93333333333334</v>
      </c>
      <c r="D21" s="6"/>
      <c r="E21" s="28"/>
    </row>
    <row r="22" spans="1:6" x14ac:dyDescent="0.2">
      <c r="A22" s="56" t="s">
        <v>44</v>
      </c>
      <c r="B22" s="57"/>
      <c r="C22" s="33">
        <f>SUM(C23:C27)*(B3+B7)*B5</f>
        <v>392</v>
      </c>
      <c r="D22" s="27" t="s">
        <v>63</v>
      </c>
      <c r="E22" s="28"/>
      <c r="F22" s="28"/>
    </row>
    <row r="23" spans="1:6" x14ac:dyDescent="0.2">
      <c r="A23" s="51" t="s">
        <v>45</v>
      </c>
      <c r="B23" s="52"/>
      <c r="C23" s="29">
        <v>1</v>
      </c>
      <c r="D23" s="27"/>
    </row>
    <row r="24" spans="1:6" x14ac:dyDescent="0.2">
      <c r="A24" s="60" t="s">
        <v>46</v>
      </c>
      <c r="B24" s="61"/>
      <c r="C24" s="29">
        <v>1</v>
      </c>
      <c r="D24" s="30"/>
    </row>
    <row r="25" spans="1:6" x14ac:dyDescent="0.2">
      <c r="A25" s="51" t="s">
        <v>47</v>
      </c>
      <c r="B25" s="52"/>
      <c r="C25" s="29">
        <v>2</v>
      </c>
      <c r="D25" s="27"/>
    </row>
    <row r="26" spans="1:6" x14ac:dyDescent="0.2">
      <c r="A26" s="51" t="s">
        <v>48</v>
      </c>
      <c r="B26" s="52"/>
      <c r="C26" s="29">
        <v>2</v>
      </c>
      <c r="D26" s="27"/>
    </row>
    <row r="27" spans="1:6" x14ac:dyDescent="0.2">
      <c r="A27" s="51" t="s">
        <v>49</v>
      </c>
      <c r="B27" s="52"/>
      <c r="C27" s="29">
        <v>1</v>
      </c>
      <c r="D27" s="27"/>
    </row>
    <row r="28" spans="1:6" x14ac:dyDescent="0.2">
      <c r="A28" s="56" t="s">
        <v>50</v>
      </c>
      <c r="B28" s="57"/>
      <c r="C28" s="33">
        <f>3.7*B4</f>
        <v>88.800000000000011</v>
      </c>
      <c r="D28" s="27" t="s">
        <v>51</v>
      </c>
      <c r="E28" s="28"/>
      <c r="F28" s="28"/>
    </row>
    <row r="29" spans="1:6" ht="38.25" x14ac:dyDescent="0.2">
      <c r="A29" s="56" t="s">
        <v>52</v>
      </c>
      <c r="B29" s="57"/>
      <c r="C29" s="33">
        <f>20*6</f>
        <v>120</v>
      </c>
      <c r="D29" s="27" t="s">
        <v>53</v>
      </c>
    </row>
    <row r="30" spans="1:6" x14ac:dyDescent="0.2">
      <c r="A30" s="56" t="s">
        <v>54</v>
      </c>
      <c r="B30" s="57"/>
      <c r="C30" s="34">
        <f>SUM(C29,C28,C22,C19,C16,C15)*B10</f>
        <v>85.366666666666674</v>
      </c>
      <c r="D30" s="35"/>
    </row>
    <row r="31" spans="1:6" x14ac:dyDescent="0.2">
      <c r="A31" s="56" t="s">
        <v>55</v>
      </c>
      <c r="B31" s="57"/>
      <c r="C31" s="34">
        <f>SUM(C30,C29,C28,C22,C19,C16,C15)*2%</f>
        <v>35.853999999999999</v>
      </c>
      <c r="D31" s="35"/>
    </row>
    <row r="32" spans="1:6" ht="13.5" thickBot="1" x14ac:dyDescent="0.25">
      <c r="A32" s="62" t="s">
        <v>3</v>
      </c>
      <c r="B32" s="63"/>
      <c r="C32" s="36">
        <f>SUM(C30,C29,C28,C22,C19,C16,C15,C31)</f>
        <v>1828.5540000000001</v>
      </c>
      <c r="D32" s="37"/>
    </row>
    <row r="33" spans="1:5" x14ac:dyDescent="0.2">
      <c r="A33" s="54" t="s">
        <v>33</v>
      </c>
      <c r="B33" s="55"/>
      <c r="C33" s="38">
        <f>C32*B11</f>
        <v>365.71080000000006</v>
      </c>
      <c r="D33" s="39"/>
    </row>
    <row r="34" spans="1:5" ht="13.5" thickBot="1" x14ac:dyDescent="0.25">
      <c r="A34" s="62" t="s">
        <v>56</v>
      </c>
      <c r="B34" s="63"/>
      <c r="C34" s="36">
        <f>C32+C33</f>
        <v>2194.2647999999999</v>
      </c>
      <c r="D34" s="37"/>
    </row>
    <row r="35" spans="1:5" x14ac:dyDescent="0.2">
      <c r="A35" s="64" t="s">
        <v>57</v>
      </c>
      <c r="B35" s="65"/>
      <c r="C35" s="40">
        <f>C34/B3</f>
        <v>182.8554</v>
      </c>
      <c r="D35" s="25">
        <v>180</v>
      </c>
    </row>
    <row r="36" spans="1:5" x14ac:dyDescent="0.2">
      <c r="A36" s="41"/>
      <c r="B36" s="41"/>
      <c r="C36" s="41"/>
      <c r="D36" s="41"/>
      <c r="E36" s="41"/>
    </row>
    <row r="37" spans="1:5" x14ac:dyDescent="0.2">
      <c r="C37" s="44"/>
      <c r="D37" s="44">
        <f>C37*13</f>
        <v>0</v>
      </c>
    </row>
  </sheetData>
  <mergeCells count="22"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31:B31"/>
  </mergeCells>
  <hyperlinks>
    <hyperlink ref="A21" location="'სახარჯი მსალა'!A1" display="სახარჯი მასალის ხარჯი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topLeftCell="A4" zoomScale="70" zoomScaleNormal="70" workbookViewId="0">
      <selection activeCell="H18" sqref="H18"/>
    </sheetView>
  </sheetViews>
  <sheetFormatPr defaultRowHeight="19.5" x14ac:dyDescent="0.35"/>
  <cols>
    <col min="1" max="1" width="101.140625" style="5" customWidth="1"/>
    <col min="2" max="2" width="19.85546875" style="2" hidden="1" customWidth="1"/>
    <col min="3" max="3" width="8.5703125" style="2" hidden="1" customWidth="1"/>
    <col min="4" max="4" width="19.7109375" style="2" hidden="1" customWidth="1"/>
    <col min="5" max="5" width="26.28515625" style="1" customWidth="1"/>
    <col min="6" max="6" width="20.7109375" style="1" customWidth="1"/>
    <col min="7" max="16384" width="9.140625" style="1"/>
  </cols>
  <sheetData>
    <row r="2" spans="1:6" s="3" customFormat="1" x14ac:dyDescent="0.35">
      <c r="A2" s="5"/>
      <c r="D2" s="4"/>
    </row>
    <row r="3" spans="1:6" s="3" customFormat="1" ht="42.75" customHeight="1" x14ac:dyDescent="0.3">
      <c r="A3" s="66" t="s">
        <v>5</v>
      </c>
      <c r="B3" s="66"/>
      <c r="C3" s="66"/>
      <c r="D3" s="66"/>
    </row>
    <row r="4" spans="1:6" s="3" customFormat="1" ht="81.75" customHeight="1" x14ac:dyDescent="0.3">
      <c r="A4" s="66" t="s">
        <v>58</v>
      </c>
      <c r="B4" s="66"/>
      <c r="C4" s="66"/>
      <c r="D4" s="66"/>
    </row>
    <row r="5" spans="1:6" s="3" customFormat="1" x14ac:dyDescent="0.3">
      <c r="A5" s="66"/>
      <c r="B5" s="66"/>
      <c r="C5" s="66"/>
      <c r="D5" s="66"/>
    </row>
    <row r="7" spans="1:6" ht="78" x14ac:dyDescent="0.25">
      <c r="A7" s="7" t="s">
        <v>0</v>
      </c>
      <c r="B7" s="8" t="s">
        <v>1</v>
      </c>
      <c r="C7" s="8" t="s">
        <v>4</v>
      </c>
      <c r="D7" s="9" t="s">
        <v>24</v>
      </c>
      <c r="E7" s="9" t="s">
        <v>27</v>
      </c>
      <c r="F7" s="9" t="s">
        <v>25</v>
      </c>
    </row>
    <row r="8" spans="1:6" ht="18" x14ac:dyDescent="0.25">
      <c r="A8" s="10" t="s">
        <v>7</v>
      </c>
      <c r="B8" s="16">
        <v>37500</v>
      </c>
      <c r="C8" s="16">
        <v>1</v>
      </c>
      <c r="D8" s="16">
        <f>B8/C8</f>
        <v>37500</v>
      </c>
      <c r="E8" s="16" t="s">
        <v>23</v>
      </c>
      <c r="F8" s="16">
        <v>350</v>
      </c>
    </row>
    <row r="9" spans="1:6" ht="18" x14ac:dyDescent="0.25">
      <c r="A9" s="10" t="s">
        <v>8</v>
      </c>
      <c r="B9" s="16">
        <v>189000</v>
      </c>
      <c r="C9" s="16">
        <v>1</v>
      </c>
      <c r="D9" s="16">
        <f>B9/C9</f>
        <v>189000</v>
      </c>
      <c r="E9" s="16" t="s">
        <v>23</v>
      </c>
      <c r="F9" s="16">
        <v>500</v>
      </c>
    </row>
    <row r="10" spans="1:6" ht="36" x14ac:dyDescent="0.25">
      <c r="A10" s="10" t="s">
        <v>9</v>
      </c>
      <c r="B10" s="16">
        <v>15000</v>
      </c>
      <c r="C10" s="16">
        <v>1</v>
      </c>
      <c r="D10" s="16">
        <f t="shared" ref="D10:D23" si="0">B10/C10</f>
        <v>15000</v>
      </c>
      <c r="E10" s="16" t="s">
        <v>23</v>
      </c>
      <c r="F10" s="16">
        <v>250</v>
      </c>
    </row>
    <row r="11" spans="1:6" ht="18" x14ac:dyDescent="0.25">
      <c r="A11" s="10" t="s">
        <v>10</v>
      </c>
      <c r="B11" s="16">
        <v>17000</v>
      </c>
      <c r="C11" s="16">
        <v>1</v>
      </c>
      <c r="D11" s="16">
        <f t="shared" si="0"/>
        <v>17000</v>
      </c>
      <c r="E11" s="16" t="s">
        <v>23</v>
      </c>
      <c r="F11" s="16">
        <v>250</v>
      </c>
    </row>
    <row r="12" spans="1:6" ht="18" x14ac:dyDescent="0.25">
      <c r="A12" s="10" t="s">
        <v>11</v>
      </c>
      <c r="B12" s="16">
        <v>26000</v>
      </c>
      <c r="C12" s="16">
        <v>1</v>
      </c>
      <c r="D12" s="16">
        <f t="shared" si="0"/>
        <v>26000</v>
      </c>
      <c r="E12" s="16" t="s">
        <v>26</v>
      </c>
      <c r="F12" s="16">
        <v>200</v>
      </c>
    </row>
    <row r="13" spans="1:6" ht="18" x14ac:dyDescent="0.25">
      <c r="A13" s="10" t="s">
        <v>6</v>
      </c>
      <c r="B13" s="16">
        <v>1510</v>
      </c>
      <c r="C13" s="16">
        <v>2</v>
      </c>
      <c r="D13" s="16">
        <f t="shared" si="0"/>
        <v>755</v>
      </c>
      <c r="E13" s="16" t="s">
        <v>27</v>
      </c>
      <c r="F13" s="16">
        <v>200</v>
      </c>
    </row>
    <row r="14" spans="1:6" ht="18" x14ac:dyDescent="0.25">
      <c r="A14" s="10" t="s">
        <v>12</v>
      </c>
      <c r="B14" s="16">
        <v>3400</v>
      </c>
      <c r="C14" s="16">
        <v>2</v>
      </c>
      <c r="D14" s="16">
        <f t="shared" si="0"/>
        <v>1700</v>
      </c>
      <c r="E14" s="16" t="s">
        <v>27</v>
      </c>
      <c r="F14" s="16">
        <v>200</v>
      </c>
    </row>
    <row r="15" spans="1:6" ht="18" x14ac:dyDescent="0.25">
      <c r="A15" s="10" t="s">
        <v>13</v>
      </c>
      <c r="B15" s="16">
        <v>11090</v>
      </c>
      <c r="C15" s="16">
        <v>2</v>
      </c>
      <c r="D15" s="16">
        <f t="shared" si="0"/>
        <v>5545</v>
      </c>
      <c r="E15" s="16" t="s">
        <v>27</v>
      </c>
      <c r="F15" s="16">
        <v>200</v>
      </c>
    </row>
    <row r="16" spans="1:6" ht="18" x14ac:dyDescent="0.25">
      <c r="A16" s="10" t="s">
        <v>14</v>
      </c>
      <c r="B16" s="16">
        <v>1930</v>
      </c>
      <c r="C16" s="16">
        <v>2</v>
      </c>
      <c r="D16" s="16">
        <f t="shared" si="0"/>
        <v>965</v>
      </c>
      <c r="E16" s="16" t="s">
        <v>27</v>
      </c>
      <c r="F16" s="16">
        <v>200</v>
      </c>
    </row>
    <row r="17" spans="1:6" ht="18" x14ac:dyDescent="0.25">
      <c r="A17" s="10" t="s">
        <v>15</v>
      </c>
      <c r="B17" s="16">
        <v>18800</v>
      </c>
      <c r="C17" s="16">
        <v>2</v>
      </c>
      <c r="D17" s="16">
        <f t="shared" si="0"/>
        <v>9400</v>
      </c>
      <c r="E17" s="16" t="s">
        <v>23</v>
      </c>
      <c r="F17" s="16">
        <v>250</v>
      </c>
    </row>
    <row r="18" spans="1:6" ht="18" x14ac:dyDescent="0.25">
      <c r="A18" s="10" t="s">
        <v>16</v>
      </c>
      <c r="B18" s="16">
        <v>1456</v>
      </c>
      <c r="C18" s="16">
        <v>5</v>
      </c>
      <c r="D18" s="16">
        <f t="shared" si="0"/>
        <v>291.2</v>
      </c>
      <c r="E18" s="16" t="s">
        <v>27</v>
      </c>
      <c r="F18" s="16">
        <v>100</v>
      </c>
    </row>
    <row r="19" spans="1:6" ht="18" x14ac:dyDescent="0.25">
      <c r="A19" s="10" t="s">
        <v>17</v>
      </c>
      <c r="B19" s="16">
        <v>1824</v>
      </c>
      <c r="C19" s="16">
        <v>2</v>
      </c>
      <c r="D19" s="16">
        <f t="shared" si="0"/>
        <v>912</v>
      </c>
      <c r="E19" s="16" t="s">
        <v>27</v>
      </c>
      <c r="F19" s="16">
        <v>200</v>
      </c>
    </row>
    <row r="20" spans="1:6" ht="18" x14ac:dyDescent="0.25">
      <c r="A20" s="10" t="s">
        <v>18</v>
      </c>
      <c r="B20" s="16">
        <v>820</v>
      </c>
      <c r="C20" s="16">
        <v>2</v>
      </c>
      <c r="D20" s="16">
        <f t="shared" si="0"/>
        <v>410</v>
      </c>
      <c r="E20" s="16" t="s">
        <v>27</v>
      </c>
      <c r="F20" s="16">
        <v>200</v>
      </c>
    </row>
    <row r="21" spans="1:6" ht="18" x14ac:dyDescent="0.25">
      <c r="A21" s="10" t="s">
        <v>19</v>
      </c>
      <c r="B21" s="16">
        <v>2570</v>
      </c>
      <c r="C21" s="16">
        <v>2</v>
      </c>
      <c r="D21" s="16">
        <f t="shared" si="0"/>
        <v>1285</v>
      </c>
      <c r="E21" s="16" t="s">
        <v>27</v>
      </c>
      <c r="F21" s="16">
        <v>250</v>
      </c>
    </row>
    <row r="22" spans="1:6" ht="18" x14ac:dyDescent="0.25">
      <c r="A22" s="10" t="s">
        <v>20</v>
      </c>
      <c r="B22" s="16">
        <v>3780</v>
      </c>
      <c r="C22" s="16">
        <v>2</v>
      </c>
      <c r="D22" s="16">
        <f t="shared" si="0"/>
        <v>1890</v>
      </c>
      <c r="E22" s="16" t="s">
        <v>23</v>
      </c>
      <c r="F22" s="16">
        <v>200</v>
      </c>
    </row>
    <row r="23" spans="1:6" ht="18" x14ac:dyDescent="0.25">
      <c r="A23" s="10" t="s">
        <v>21</v>
      </c>
      <c r="B23" s="16">
        <v>3760</v>
      </c>
      <c r="C23" s="16">
        <v>2</v>
      </c>
      <c r="D23" s="16">
        <f t="shared" si="0"/>
        <v>1880</v>
      </c>
      <c r="E23" s="16" t="s">
        <v>27</v>
      </c>
      <c r="F23" s="16">
        <v>150</v>
      </c>
    </row>
    <row r="24" spans="1:6" ht="18" x14ac:dyDescent="0.25">
      <c r="A24" s="10" t="s">
        <v>22</v>
      </c>
      <c r="B24" s="16">
        <v>3590</v>
      </c>
      <c r="C24" s="16">
        <v>2</v>
      </c>
      <c r="D24" s="16">
        <f>B24/C24</f>
        <v>1795</v>
      </c>
      <c r="E24" s="16" t="s">
        <v>27</v>
      </c>
      <c r="F24" s="16">
        <v>150</v>
      </c>
    </row>
    <row r="25" spans="1:6" ht="17.25" x14ac:dyDescent="0.25">
      <c r="A25" s="11" t="s">
        <v>3</v>
      </c>
      <c r="B25" s="12">
        <f>SUM(B8:B24)</f>
        <v>339030</v>
      </c>
      <c r="C25" s="13"/>
      <c r="D25" s="14">
        <f>SUM(D8:D24)</f>
        <v>311328.2</v>
      </c>
      <c r="E25" s="6"/>
      <c r="F25" s="6"/>
    </row>
    <row r="27" spans="1:6" ht="39" x14ac:dyDescent="0.3">
      <c r="A27" s="15" t="s">
        <v>59</v>
      </c>
    </row>
  </sheetData>
  <mergeCells count="3">
    <mergeCell ref="A3:D3"/>
    <mergeCell ref="A4:D4"/>
    <mergeCell ref="A5:D5"/>
  </mergeCells>
  <printOptions verticalCentered="1"/>
  <pageMargins left="0.75" right="0" top="0" bottom="0.25" header="0" footer="0"/>
  <pageSetup paperSize="9" scale="60" orientation="portrait" r:id="rId1"/>
  <rowBreaks count="1" manualBreakCount="1">
    <brk id="1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მთავარი</vt:lpstr>
      <vt:lpstr>First aid</vt:lpstr>
      <vt:lpstr>ტრეინინგი ექიმები</vt:lpstr>
      <vt:lpstr>ტრავმა</vt:lpstr>
      <vt:lpstr>კარდიოლოგია</vt:lpstr>
      <vt:lpstr>ექთნები</vt:lpstr>
      <vt:lpstr>მულაჟები</vt:lpstr>
      <vt:lpstr>მულაჟები!Print_Area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ვახო ჭანიშვილი</cp:lastModifiedBy>
  <cp:lastPrinted>2016-04-21T12:28:44Z</cp:lastPrinted>
  <dcterms:created xsi:type="dcterms:W3CDTF">2012-09-12T11:02:46Z</dcterms:created>
  <dcterms:modified xsi:type="dcterms:W3CDTF">2016-04-21T12:41:52Z</dcterms:modified>
</cp:coreProperties>
</file>